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6695" windowHeight="6795" tabRatio="598"/>
  </bookViews>
  <sheets>
    <sheet name="RB 2017" sheetId="3" r:id="rId1"/>
    <sheet name="Utvecklingsmedel" sheetId="6" r:id="rId2"/>
  </sheets>
  <definedNames>
    <definedName name="_xlnm.Print_Titles" localSheetId="0">'RB 2017'!$H:$I</definedName>
  </definedNames>
  <calcPr calcId="145621"/>
</workbook>
</file>

<file path=xl/calcChain.xml><?xml version="1.0" encoding="utf-8"?>
<calcChain xmlns="http://schemas.openxmlformats.org/spreadsheetml/2006/main">
  <c r="AR30" i="3" l="1"/>
  <c r="AR29" i="3"/>
  <c r="AR28" i="3"/>
  <c r="AR27" i="3"/>
  <c r="AR26" i="3"/>
  <c r="AR25" i="3"/>
  <c r="AR24" i="3"/>
  <c r="AR23" i="3"/>
  <c r="AR22" i="3"/>
  <c r="AR21" i="3"/>
  <c r="AR20" i="3"/>
  <c r="AR19" i="3"/>
  <c r="AR18" i="3"/>
  <c r="AR17" i="3"/>
  <c r="AR16" i="3"/>
  <c r="AR15" i="3"/>
  <c r="AR14" i="3"/>
  <c r="AR13" i="3"/>
  <c r="AR12" i="3"/>
  <c r="AR11" i="3"/>
  <c r="AR10" i="3"/>
  <c r="AQ31" i="3"/>
  <c r="BL31" i="3" l="1"/>
  <c r="C11" i="3" l="1"/>
  <c r="AO10" i="3" l="1"/>
  <c r="AN30" i="3"/>
  <c r="AN27" i="3"/>
  <c r="AN21" i="3"/>
  <c r="AM30" i="3"/>
  <c r="AM29" i="3"/>
  <c r="AM28" i="3"/>
  <c r="AM27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M11" i="3"/>
  <c r="AM10" i="3"/>
  <c r="AL28" i="3"/>
  <c r="AL27" i="3"/>
  <c r="AL26" i="3"/>
  <c r="AL25" i="3"/>
  <c r="AL24" i="3"/>
  <c r="AL23" i="3"/>
  <c r="AL22" i="3"/>
  <c r="AL19" i="3"/>
  <c r="AL18" i="3"/>
  <c r="AL17" i="3"/>
  <c r="AL16" i="3"/>
  <c r="AL15" i="3"/>
  <c r="AL14" i="3"/>
  <c r="AL13" i="3"/>
  <c r="AL12" i="3"/>
  <c r="AL11" i="3"/>
  <c r="AL10" i="3"/>
  <c r="AK30" i="3"/>
  <c r="AK29" i="3"/>
  <c r="AK27" i="3"/>
  <c r="AK26" i="3"/>
  <c r="AK21" i="3"/>
  <c r="AK20" i="3"/>
  <c r="AK19" i="3"/>
  <c r="AK18" i="3"/>
  <c r="AK17" i="3"/>
  <c r="AK16" i="3"/>
  <c r="AK13" i="3"/>
  <c r="AK12" i="3"/>
  <c r="AK11" i="3"/>
  <c r="AK10" i="3"/>
  <c r="AI30" i="3"/>
  <c r="AI26" i="3"/>
  <c r="AI21" i="3"/>
  <c r="AI19" i="3"/>
  <c r="AI10" i="3"/>
  <c r="AH19" i="3"/>
  <c r="AH18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D23" i="3"/>
  <c r="AC21" i="3"/>
  <c r="AC19" i="3"/>
  <c r="AC10" i="3"/>
  <c r="Z30" i="3"/>
  <c r="Z29" i="3"/>
  <c r="Z28" i="3"/>
  <c r="T15" i="3"/>
  <c r="S30" i="3"/>
  <c r="S29" i="3"/>
  <c r="S28" i="3"/>
  <c r="S27" i="3"/>
  <c r="S26" i="3"/>
  <c r="S25" i="3"/>
  <c r="S24" i="3"/>
  <c r="S23" i="3"/>
  <c r="S22" i="3"/>
  <c r="S21" i="3"/>
  <c r="S11" i="3"/>
  <c r="R21" i="3"/>
  <c r="P30" i="3"/>
  <c r="P29" i="3"/>
  <c r="P28" i="3"/>
  <c r="P27" i="3"/>
  <c r="P26" i="3"/>
  <c r="P25" i="3"/>
  <c r="P23" i="3"/>
  <c r="P22" i="3"/>
  <c r="P21" i="3"/>
  <c r="O10" i="3"/>
  <c r="M21" i="3"/>
  <c r="L30" i="3"/>
  <c r="L29" i="3"/>
  <c r="L28" i="3"/>
  <c r="AN31" i="3" l="1"/>
  <c r="AP31" i="3"/>
  <c r="AP37" i="3" s="1"/>
  <c r="AR31" i="3" l="1"/>
  <c r="AA31" i="3" l="1"/>
  <c r="CU11" i="3" l="1"/>
  <c r="CU12" i="3"/>
  <c r="CU13" i="3"/>
  <c r="CU14" i="3"/>
  <c r="CU15" i="3"/>
  <c r="CU16" i="3"/>
  <c r="CU17" i="3"/>
  <c r="CU18" i="3"/>
  <c r="CU19" i="3"/>
  <c r="CU20" i="3"/>
  <c r="CU21" i="3"/>
  <c r="CU22" i="3"/>
  <c r="CU23" i="3"/>
  <c r="CU24" i="3"/>
  <c r="CU25" i="3"/>
  <c r="CU26" i="3"/>
  <c r="CU27" i="3"/>
  <c r="CU28" i="3"/>
  <c r="CU29" i="3"/>
  <c r="CU30" i="3"/>
  <c r="CU10" i="3"/>
  <c r="AR33" i="3"/>
  <c r="Z31" i="3" l="1"/>
  <c r="Z37" i="3" s="1"/>
  <c r="T31" i="3"/>
  <c r="T37" i="3" s="1"/>
  <c r="R31" i="3"/>
  <c r="R37" i="3" s="1"/>
  <c r="O31" i="3"/>
  <c r="O37" i="3" s="1"/>
  <c r="M31" i="3"/>
  <c r="M37" i="3" s="1"/>
  <c r="AO31" i="3"/>
  <c r="AO37" i="3" s="1"/>
  <c r="AN37" i="3"/>
  <c r="AL31" i="3"/>
  <c r="AL37" i="3" s="1"/>
  <c r="AR35" i="3"/>
  <c r="AR34" i="3"/>
  <c r="AR32" i="3"/>
  <c r="CX34" i="3"/>
  <c r="AK31" i="3"/>
  <c r="AK37" i="3" s="1"/>
  <c r="CS18" i="3"/>
  <c r="CS22" i="3"/>
  <c r="CS26" i="3"/>
  <c r="AM31" i="3"/>
  <c r="AM37" i="3" s="1"/>
  <c r="AJ31" i="3"/>
  <c r="AJ37" i="3" s="1"/>
  <c r="C7" i="3"/>
  <c r="C10" i="3"/>
  <c r="CA10" i="3"/>
  <c r="CA13" i="3"/>
  <c r="CA15" i="3"/>
  <c r="CA17" i="3"/>
  <c r="CA19" i="3"/>
  <c r="CT19" i="3"/>
  <c r="CA20" i="3"/>
  <c r="CA21" i="3"/>
  <c r="CT21" i="3"/>
  <c r="CA22" i="3"/>
  <c r="CA23" i="3"/>
  <c r="CA24" i="3"/>
  <c r="CA25" i="3"/>
  <c r="CA26" i="3"/>
  <c r="CA27" i="3"/>
  <c r="CA28" i="3"/>
  <c r="CA29" i="3"/>
  <c r="CA30" i="3"/>
  <c r="AG31" i="3"/>
  <c r="AG37" i="3" s="1"/>
  <c r="BN49" i="3"/>
  <c r="BN46" i="3"/>
  <c r="BS31" i="3"/>
  <c r="AD31" i="3"/>
  <c r="AD37" i="3" s="1"/>
  <c r="AB31" i="3"/>
  <c r="AB37" i="3" s="1"/>
  <c r="Y31" i="3"/>
  <c r="Y37" i="3" s="1"/>
  <c r="AR36" i="3"/>
  <c r="X31" i="3"/>
  <c r="X37" i="3" s="1"/>
  <c r="Q31" i="3"/>
  <c r="Q37" i="3" s="1"/>
  <c r="BN48" i="3"/>
  <c r="N31" i="3"/>
  <c r="N37" i="3" s="1"/>
  <c r="U31" i="3"/>
  <c r="U37" i="3" s="1"/>
  <c r="V31" i="3"/>
  <c r="V37" i="3" s="1"/>
  <c r="W31" i="3"/>
  <c r="W37" i="3" s="1"/>
  <c r="CH11" i="3"/>
  <c r="CI11" i="3"/>
  <c r="CH10" i="3"/>
  <c r="CI10" i="3"/>
  <c r="CL10" i="3" s="1"/>
  <c r="CH12" i="3"/>
  <c r="CI12" i="3"/>
  <c r="CH13" i="3"/>
  <c r="CI13" i="3"/>
  <c r="CH14" i="3"/>
  <c r="CI14" i="3"/>
  <c r="CH15" i="3"/>
  <c r="CI15" i="3"/>
  <c r="CL15" i="3" s="1"/>
  <c r="CH16" i="3"/>
  <c r="CI16" i="3"/>
  <c r="CH17" i="3"/>
  <c r="CI17" i="3"/>
  <c r="CH18" i="3"/>
  <c r="CI18" i="3"/>
  <c r="CH19" i="3"/>
  <c r="CI19" i="3"/>
  <c r="CL19" i="3" s="1"/>
  <c r="CH20" i="3"/>
  <c r="CI20" i="3"/>
  <c r="CH21" i="3"/>
  <c r="CI21" i="3"/>
  <c r="CH22" i="3"/>
  <c r="CI22" i="3"/>
  <c r="CH23" i="3"/>
  <c r="CI23" i="3"/>
  <c r="CH24" i="3"/>
  <c r="CI24" i="3"/>
  <c r="CH25" i="3"/>
  <c r="CI25" i="3"/>
  <c r="CH26" i="3"/>
  <c r="CI26" i="3"/>
  <c r="CH27" i="3"/>
  <c r="CI27" i="3"/>
  <c r="CH28" i="3"/>
  <c r="CI28" i="3"/>
  <c r="CH29" i="3"/>
  <c r="CI29" i="3"/>
  <c r="CL29" i="3" s="1"/>
  <c r="CH30" i="3"/>
  <c r="CI30" i="3"/>
  <c r="AT10" i="3"/>
  <c r="AU8" i="3"/>
  <c r="AT11" i="3"/>
  <c r="AT12" i="3"/>
  <c r="AT13" i="3"/>
  <c r="AT14" i="3"/>
  <c r="AU14" i="3" s="1"/>
  <c r="AT15" i="3"/>
  <c r="AT16" i="3"/>
  <c r="AT17" i="3"/>
  <c r="AT18" i="3"/>
  <c r="AU18" i="3" s="1"/>
  <c r="AT19" i="3"/>
  <c r="AT20" i="3"/>
  <c r="AT21" i="3"/>
  <c r="AT22" i="3"/>
  <c r="AU22" i="3" s="1"/>
  <c r="AT23" i="3"/>
  <c r="AT24" i="3"/>
  <c r="AT25" i="3"/>
  <c r="AT26" i="3"/>
  <c r="AU26" i="3" s="1"/>
  <c r="AT27" i="3"/>
  <c r="AT28" i="3"/>
  <c r="AT29" i="3"/>
  <c r="AT30" i="3"/>
  <c r="AU30" i="3" s="1"/>
  <c r="AT31" i="3"/>
  <c r="CN9" i="3"/>
  <c r="CU31" i="3"/>
  <c r="BM31" i="3"/>
  <c r="BN31" i="3"/>
  <c r="BO31" i="3"/>
  <c r="BP31" i="3"/>
  <c r="BQ31" i="3"/>
  <c r="BR31" i="3"/>
  <c r="CA18" i="3"/>
  <c r="CA16" i="3"/>
  <c r="CA14" i="3"/>
  <c r="CA11" i="3"/>
  <c r="CA12" i="3"/>
  <c r="AA37" i="3"/>
  <c r="CT31" i="3" l="1"/>
  <c r="AU27" i="3"/>
  <c r="AU15" i="3"/>
  <c r="CL20" i="3"/>
  <c r="CL16" i="3"/>
  <c r="AU12" i="3"/>
  <c r="CL21" i="3"/>
  <c r="CL22" i="3"/>
  <c r="CL12" i="3"/>
  <c r="CH31" i="3"/>
  <c r="AH31" i="3"/>
  <c r="AH37" i="3" s="1"/>
  <c r="AU28" i="3"/>
  <c r="AU10" i="3"/>
  <c r="AU31" i="3" s="1"/>
  <c r="AU20" i="3"/>
  <c r="CL28" i="3"/>
  <c r="CL26" i="3"/>
  <c r="AU17" i="3"/>
  <c r="AU25" i="3"/>
  <c r="CL27" i="3"/>
  <c r="AU24" i="3"/>
  <c r="AU23" i="3"/>
  <c r="AU11" i="3"/>
  <c r="CL24" i="3"/>
  <c r="CL14" i="3"/>
  <c r="CS16" i="3"/>
  <c r="CS12" i="3"/>
  <c r="AE31" i="3"/>
  <c r="AE37" i="3" s="1"/>
  <c r="CS11" i="3"/>
  <c r="AU29" i="3"/>
  <c r="AU21" i="3"/>
  <c r="AU13" i="3"/>
  <c r="CL25" i="3"/>
  <c r="AU19" i="3"/>
  <c r="AU16" i="3"/>
  <c r="CL18" i="3"/>
  <c r="CL11" i="3"/>
  <c r="CL30" i="3"/>
  <c r="CL23" i="3"/>
  <c r="CL17" i="3"/>
  <c r="CL13" i="3"/>
  <c r="CA31" i="3"/>
  <c r="CL31" i="3"/>
  <c r="CM23" i="3" s="1"/>
  <c r="CN23" i="3" s="1"/>
  <c r="CS24" i="3"/>
  <c r="CI31" i="3"/>
  <c r="CS25" i="3"/>
  <c r="CS29" i="3"/>
  <c r="AC31" i="3"/>
  <c r="AC37" i="3" s="1"/>
  <c r="CS20" i="3"/>
  <c r="CS15" i="3"/>
  <c r="CS30" i="3"/>
  <c r="CS13" i="3"/>
  <c r="CS17" i="3"/>
  <c r="CS10" i="3"/>
  <c r="AI31" i="3"/>
  <c r="AI37" i="3" s="1"/>
  <c r="CS27" i="3"/>
  <c r="CS14" i="3"/>
  <c r="CS21" i="3"/>
  <c r="CS19" i="3"/>
  <c r="CS23" i="3"/>
  <c r="S31" i="3"/>
  <c r="S37" i="3" s="1"/>
  <c r="CS28" i="3"/>
  <c r="P31" i="3"/>
  <c r="P37" i="3" s="1"/>
  <c r="L31" i="3"/>
  <c r="L37" i="3" s="1"/>
  <c r="CM14" i="3" l="1"/>
  <c r="CN14" i="3" s="1"/>
  <c r="CM26" i="3"/>
  <c r="CN26" i="3" s="1"/>
  <c r="CM18" i="3"/>
  <c r="CN18" i="3" s="1"/>
  <c r="CM20" i="3"/>
  <c r="CN20" i="3" s="1"/>
  <c r="CM21" i="3"/>
  <c r="CN21" i="3" s="1"/>
  <c r="CM19" i="3"/>
  <c r="CN19" i="3" s="1"/>
  <c r="CM25" i="3"/>
  <c r="CN25" i="3" s="1"/>
  <c r="CM16" i="3"/>
  <c r="CN16" i="3" s="1"/>
  <c r="CM10" i="3"/>
  <c r="CN10" i="3" s="1"/>
  <c r="CN31" i="3" s="1"/>
  <c r="CM13" i="3"/>
  <c r="CN13" i="3" s="1"/>
  <c r="CM11" i="3"/>
  <c r="CN11" i="3" s="1"/>
  <c r="CM17" i="3"/>
  <c r="CN17" i="3" s="1"/>
  <c r="CM12" i="3"/>
  <c r="CN12" i="3" s="1"/>
  <c r="CM28" i="3"/>
  <c r="CN28" i="3" s="1"/>
  <c r="CM24" i="3"/>
  <c r="CN24" i="3" s="1"/>
  <c r="CM27" i="3"/>
  <c r="CN27" i="3" s="1"/>
  <c r="CM15" i="3"/>
  <c r="CN15" i="3" s="1"/>
  <c r="CM22" i="3"/>
  <c r="CN22" i="3" s="1"/>
  <c r="CM29" i="3"/>
  <c r="CN29" i="3" s="1"/>
  <c r="CM30" i="3"/>
  <c r="CN30" i="3" s="1"/>
  <c r="CS31" i="3"/>
  <c r="AR37" i="3"/>
  <c r="C9" i="3" s="1"/>
  <c r="C13" i="3" s="1"/>
  <c r="C16" i="3" l="1"/>
  <c r="BP35" i="3" s="1"/>
  <c r="BP37" i="3" s="1"/>
  <c r="BX10" i="3" s="1"/>
  <c r="CM31" i="3"/>
  <c r="BP43" i="3" l="1"/>
  <c r="CC19" i="3" s="1"/>
  <c r="BP40" i="3"/>
  <c r="BZ26" i="3" s="1"/>
  <c r="BX17" i="3"/>
  <c r="BP39" i="3"/>
  <c r="BY27" i="3" s="1"/>
  <c r="BP42" i="3"/>
  <c r="CB15" i="3" s="1"/>
  <c r="BP41" i="3"/>
  <c r="BP44" i="3"/>
  <c r="CD10" i="3" s="1"/>
  <c r="BP45" i="3"/>
  <c r="CE13" i="3" s="1"/>
  <c r="BX22" i="3"/>
  <c r="BX16" i="3"/>
  <c r="BX23" i="3"/>
  <c r="CC24" i="3" l="1"/>
  <c r="CC28" i="3"/>
  <c r="BZ11" i="3"/>
  <c r="CB21" i="3"/>
  <c r="CC30" i="3"/>
  <c r="CC20" i="3"/>
  <c r="BY22" i="3"/>
  <c r="CE18" i="3"/>
  <c r="BX19" i="3"/>
  <c r="BX11" i="3"/>
  <c r="CE12" i="3"/>
  <c r="BX12" i="3"/>
  <c r="CC25" i="3"/>
  <c r="CC17" i="3"/>
  <c r="BZ22" i="3"/>
  <c r="BZ28" i="3"/>
  <c r="CB12" i="3"/>
  <c r="BZ24" i="3"/>
  <c r="BZ17" i="3"/>
  <c r="CB17" i="3"/>
  <c r="CB11" i="3"/>
  <c r="CB10" i="3"/>
  <c r="CB26" i="3"/>
  <c r="CB14" i="3"/>
  <c r="CB13" i="3"/>
  <c r="BZ12" i="3"/>
  <c r="BZ10" i="3"/>
  <c r="CB27" i="3"/>
  <c r="CB22" i="3"/>
  <c r="BZ16" i="3"/>
  <c r="CB23" i="3"/>
  <c r="BZ30" i="3"/>
  <c r="CB30" i="3"/>
  <c r="CB19" i="3"/>
  <c r="CB16" i="3"/>
  <c r="CB29" i="3"/>
  <c r="BZ29" i="3"/>
  <c r="BZ20" i="3"/>
  <c r="BZ18" i="3"/>
  <c r="CB20" i="3"/>
  <c r="BZ15" i="3"/>
  <c r="BZ25" i="3"/>
  <c r="CC12" i="3"/>
  <c r="CB28" i="3"/>
  <c r="CB18" i="3"/>
  <c r="CB24" i="3"/>
  <c r="CB25" i="3"/>
  <c r="BZ21" i="3"/>
  <c r="BZ19" i="3"/>
  <c r="BZ23" i="3"/>
  <c r="BZ27" i="3"/>
  <c r="BZ14" i="3"/>
  <c r="BZ13" i="3"/>
  <c r="CE14" i="3"/>
  <c r="CE16" i="3"/>
  <c r="BY18" i="3"/>
  <c r="CE22" i="3"/>
  <c r="BX15" i="3"/>
  <c r="BX28" i="3"/>
  <c r="CE20" i="3"/>
  <c r="CE29" i="3"/>
  <c r="CE10" i="3"/>
  <c r="CC23" i="3"/>
  <c r="CC21" i="3"/>
  <c r="CE23" i="3"/>
  <c r="CE26" i="3"/>
  <c r="CE28" i="3"/>
  <c r="CE21" i="3"/>
  <c r="CD29" i="3"/>
  <c r="BY26" i="3"/>
  <c r="BY19" i="3"/>
  <c r="BY25" i="3"/>
  <c r="BY10" i="3"/>
  <c r="BX30" i="3"/>
  <c r="BY14" i="3"/>
  <c r="BX25" i="3"/>
  <c r="BX20" i="3"/>
  <c r="BY23" i="3"/>
  <c r="BX14" i="3"/>
  <c r="BY30" i="3"/>
  <c r="BY16" i="3"/>
  <c r="BY29" i="3"/>
  <c r="BY20" i="3"/>
  <c r="BY21" i="3"/>
  <c r="BY28" i="3"/>
  <c r="BY24" i="3"/>
  <c r="BY13" i="3"/>
  <c r="BX24" i="3"/>
  <c r="BY15" i="3"/>
  <c r="BX27" i="3"/>
  <c r="BX29" i="3"/>
  <c r="BX21" i="3"/>
  <c r="BX13" i="3"/>
  <c r="BX26" i="3"/>
  <c r="BY17" i="3"/>
  <c r="BX18" i="3"/>
  <c r="BY12" i="3"/>
  <c r="BY11" i="3"/>
  <c r="CC13" i="3"/>
  <c r="CC15" i="3"/>
  <c r="CC22" i="3"/>
  <c r="CC11" i="3"/>
  <c r="CC29" i="3"/>
  <c r="CC16" i="3"/>
  <c r="CC18" i="3"/>
  <c r="CC26" i="3"/>
  <c r="CC27" i="3"/>
  <c r="CC10" i="3"/>
  <c r="CC14" i="3"/>
  <c r="CD30" i="3"/>
  <c r="CD28" i="3"/>
  <c r="CD23" i="3"/>
  <c r="CE11" i="3"/>
  <c r="CE27" i="3"/>
  <c r="CD20" i="3"/>
  <c r="CD22" i="3"/>
  <c r="BP46" i="3"/>
  <c r="CD11" i="3"/>
  <c r="CD16" i="3"/>
  <c r="CD26" i="3"/>
  <c r="CE17" i="3"/>
  <c r="CD17" i="3"/>
  <c r="CE19" i="3"/>
  <c r="CE25" i="3"/>
  <c r="CE15" i="3"/>
  <c r="CD15" i="3"/>
  <c r="CE24" i="3"/>
  <c r="CD21" i="3"/>
  <c r="CE30" i="3"/>
  <c r="CD19" i="3"/>
  <c r="CD14" i="3"/>
  <c r="CD18" i="3"/>
  <c r="CD13" i="3"/>
  <c r="CD24" i="3"/>
  <c r="CD25" i="3"/>
  <c r="CD27" i="3"/>
  <c r="CD12" i="3"/>
  <c r="CF21" i="3" l="1"/>
  <c r="CF18" i="3"/>
  <c r="F13" i="6" s="1"/>
  <c r="CF22" i="3"/>
  <c r="F17" i="6" s="1"/>
  <c r="BZ31" i="3"/>
  <c r="CF30" i="3"/>
  <c r="F25" i="6" s="1"/>
  <c r="CB31" i="3"/>
  <c r="CF27" i="3"/>
  <c r="F22" i="6" s="1"/>
  <c r="CF26" i="3"/>
  <c r="F21" i="6" s="1"/>
  <c r="CF23" i="3"/>
  <c r="F18" i="6" s="1"/>
  <c r="CF19" i="3"/>
  <c r="F14" i="6" s="1"/>
  <c r="CC31" i="3"/>
  <c r="BX31" i="3"/>
  <c r="CF28" i="3"/>
  <c r="BY31" i="3"/>
  <c r="CF29" i="3"/>
  <c r="F24" i="6" s="1"/>
  <c r="CF16" i="3"/>
  <c r="CF20" i="3"/>
  <c r="F15" i="6" s="1"/>
  <c r="CF10" i="3"/>
  <c r="F5" i="6" s="1"/>
  <c r="CF25" i="3"/>
  <c r="F20" i="6" s="1"/>
  <c r="CF14" i="3"/>
  <c r="F9" i="6" s="1"/>
  <c r="CE31" i="3"/>
  <c r="CF12" i="3"/>
  <c r="F7" i="6" s="1"/>
  <c r="CF13" i="3"/>
  <c r="CD31" i="3"/>
  <c r="CF24" i="3"/>
  <c r="F19" i="6" s="1"/>
  <c r="CF15" i="3"/>
  <c r="F10" i="6" s="1"/>
  <c r="CF17" i="3"/>
  <c r="CF11" i="3"/>
  <c r="CV11" i="3" l="1"/>
  <c r="CX11" i="3" s="1"/>
  <c r="F6" i="6"/>
  <c r="CV16" i="3"/>
  <c r="CX16" i="3" s="1"/>
  <c r="F11" i="6"/>
  <c r="CV17" i="3"/>
  <c r="CX17" i="3" s="1"/>
  <c r="F12" i="6"/>
  <c r="CV13" i="3"/>
  <c r="CX13" i="3" s="1"/>
  <c r="F8" i="6"/>
  <c r="CV28" i="3"/>
  <c r="CX28" i="3" s="1"/>
  <c r="F23" i="6"/>
  <c r="CV21" i="3"/>
  <c r="CX21" i="3" s="1"/>
  <c r="F16" i="6"/>
  <c r="CV29" i="3"/>
  <c r="CX29" i="3" s="1"/>
  <c r="CV30" i="3"/>
  <c r="CX30" i="3" s="1"/>
  <c r="CV22" i="3"/>
  <c r="CX22" i="3" s="1"/>
  <c r="CV20" i="3"/>
  <c r="CX20" i="3" s="1"/>
  <c r="CV14" i="3"/>
  <c r="CX14" i="3" s="1"/>
  <c r="CV18" i="3"/>
  <c r="CX18" i="3" s="1"/>
  <c r="CV26" i="3"/>
  <c r="CX26" i="3" s="1"/>
  <c r="CV27" i="3"/>
  <c r="CX27" i="3" s="1"/>
  <c r="CV19" i="3"/>
  <c r="CX19" i="3" s="1"/>
  <c r="CV23" i="3"/>
  <c r="CX23" i="3" s="1"/>
  <c r="CF31" i="3"/>
  <c r="CV15" i="3"/>
  <c r="CX15" i="3" s="1"/>
  <c r="CV24" i="3"/>
  <c r="CX24" i="3" s="1"/>
  <c r="CV10" i="3"/>
  <c r="CX10" i="3" s="1"/>
  <c r="CV25" i="3"/>
  <c r="CX25" i="3" s="1"/>
  <c r="CV12" i="3"/>
  <c r="CX12" i="3" s="1"/>
  <c r="CV31" i="3" l="1"/>
  <c r="F32" i="6"/>
  <c r="G25" i="6" s="1"/>
  <c r="H25" i="6" s="1"/>
  <c r="CX31" i="3" l="1"/>
  <c r="CX37" i="3" s="1"/>
  <c r="DB31" i="3"/>
  <c r="G13" i="6"/>
  <c r="H13" i="6" s="1"/>
  <c r="G32" i="6"/>
  <c r="G7" i="6"/>
  <c r="H7" i="6" s="1"/>
  <c r="G24" i="6"/>
  <c r="H24" i="6" s="1"/>
  <c r="G9" i="6"/>
  <c r="H9" i="6" s="1"/>
  <c r="G20" i="6"/>
  <c r="H20" i="6" s="1"/>
  <c r="G21" i="6"/>
  <c r="H21" i="6" s="1"/>
  <c r="G15" i="6"/>
  <c r="H15" i="6" s="1"/>
  <c r="G16" i="6"/>
  <c r="H16" i="6" s="1"/>
  <c r="G11" i="6"/>
  <c r="H11" i="6" s="1"/>
  <c r="G14" i="6"/>
  <c r="H14" i="6" s="1"/>
  <c r="G8" i="6"/>
  <c r="H8" i="6" s="1"/>
  <c r="G10" i="6"/>
  <c r="H10" i="6" s="1"/>
  <c r="G17" i="6"/>
  <c r="H17" i="6" s="1"/>
  <c r="G22" i="6"/>
  <c r="H22" i="6" s="1"/>
  <c r="G6" i="6"/>
  <c r="H6" i="6" s="1"/>
  <c r="G19" i="6"/>
  <c r="H19" i="6" s="1"/>
  <c r="G12" i="6"/>
  <c r="H12" i="6" s="1"/>
  <c r="G5" i="6"/>
  <c r="H5" i="6" s="1"/>
  <c r="G23" i="6"/>
  <c r="H23" i="6" s="1"/>
  <c r="G18" i="6"/>
  <c r="H18" i="6" s="1"/>
  <c r="CY16" i="3" l="1"/>
  <c r="CY19" i="3"/>
  <c r="CY26" i="3"/>
  <c r="CY24" i="3"/>
  <c r="CY14" i="3"/>
  <c r="CY10" i="3"/>
  <c r="CY17" i="3"/>
  <c r="CY27" i="3"/>
  <c r="CY29" i="3"/>
  <c r="CY20" i="3"/>
  <c r="CY25" i="3"/>
  <c r="CY30" i="3"/>
  <c r="CY11" i="3"/>
  <c r="CY13" i="3"/>
  <c r="CY12" i="3"/>
  <c r="CY23" i="3"/>
  <c r="CY28" i="3"/>
  <c r="CY31" i="3"/>
  <c r="CY22" i="3"/>
  <c r="CY21" i="3"/>
  <c r="CY15" i="3"/>
  <c r="CY18" i="3"/>
  <c r="H32" i="6"/>
</calcChain>
</file>

<file path=xl/sharedStrings.xml><?xml version="1.0" encoding="utf-8"?>
<sst xmlns="http://schemas.openxmlformats.org/spreadsheetml/2006/main" count="317" uniqueCount="189">
  <si>
    <t>Summa</t>
  </si>
  <si>
    <t>Kronoberg</t>
  </si>
  <si>
    <t>Uppsala</t>
  </si>
  <si>
    <t>Kalmar</t>
  </si>
  <si>
    <t>Blekinge</t>
  </si>
  <si>
    <t>Skåne</t>
  </si>
  <si>
    <t>Dalarna</t>
  </si>
  <si>
    <t>Gotland</t>
  </si>
  <si>
    <t>Stockholm</t>
  </si>
  <si>
    <t>Gävleborg</t>
  </si>
  <si>
    <t>O</t>
  </si>
  <si>
    <t>Avgår riktade medel</t>
  </si>
  <si>
    <t>AB</t>
  </si>
  <si>
    <t>C</t>
  </si>
  <si>
    <t>D</t>
  </si>
  <si>
    <t>Södermanland</t>
  </si>
  <si>
    <t>E</t>
  </si>
  <si>
    <t>Östergötland</t>
  </si>
  <si>
    <t>F</t>
  </si>
  <si>
    <t>Jönköping</t>
  </si>
  <si>
    <t>G</t>
  </si>
  <si>
    <t>H</t>
  </si>
  <si>
    <t>I</t>
  </si>
  <si>
    <t>K</t>
  </si>
  <si>
    <t>M</t>
  </si>
  <si>
    <t>N</t>
  </si>
  <si>
    <t>Halland</t>
  </si>
  <si>
    <t>Västra Götaland</t>
  </si>
  <si>
    <t>S</t>
  </si>
  <si>
    <t>Värmland</t>
  </si>
  <si>
    <t>T</t>
  </si>
  <si>
    <t>Örebro</t>
  </si>
  <si>
    <t>U</t>
  </si>
  <si>
    <t>Västmanland</t>
  </si>
  <si>
    <t>W</t>
  </si>
  <si>
    <t>X</t>
  </si>
  <si>
    <t>Y</t>
  </si>
  <si>
    <t>Västernorrland</t>
  </si>
  <si>
    <t>Z</t>
  </si>
  <si>
    <t>Jämtland</t>
  </si>
  <si>
    <t>AC</t>
  </si>
  <si>
    <t>Västerbotten</t>
  </si>
  <si>
    <t>BD</t>
  </si>
  <si>
    <t>Norrbotten</t>
  </si>
  <si>
    <t>Ofördelat</t>
  </si>
  <si>
    <t>Reg. disp</t>
  </si>
  <si>
    <t>RK-disp</t>
  </si>
  <si>
    <t>Rennäring</t>
  </si>
  <si>
    <t>medel</t>
  </si>
  <si>
    <t>Att fördela</t>
  </si>
  <si>
    <t>6*3 mnkr</t>
  </si>
  <si>
    <t>Till modellen</t>
  </si>
  <si>
    <t>Gammal modell</t>
  </si>
  <si>
    <t>Andel</t>
  </si>
  <si>
    <t>Summa tot</t>
  </si>
  <si>
    <t>Summa lst</t>
  </si>
  <si>
    <t>Medel att fördela</t>
  </si>
  <si>
    <t xml:space="preserve"> </t>
  </si>
  <si>
    <t>VIKT</t>
  </si>
  <si>
    <t xml:space="preserve">folkmängd </t>
  </si>
  <si>
    <t>landyta inkl sjöar &amp; hav</t>
  </si>
  <si>
    <t>kommunantal</t>
  </si>
  <si>
    <t>naturreservat</t>
  </si>
  <si>
    <t>länsanslag</t>
  </si>
  <si>
    <t>Miljöavgifter</t>
  </si>
  <si>
    <t>folkmängd</t>
  </si>
  <si>
    <t xml:space="preserve">areal </t>
  </si>
  <si>
    <t>kommun-</t>
  </si>
  <si>
    <t>reser-</t>
  </si>
  <si>
    <t>läns-</t>
  </si>
  <si>
    <t>miljöavgift</t>
  </si>
  <si>
    <t>inkl strand</t>
  </si>
  <si>
    <t>antal</t>
  </si>
  <si>
    <t>vat</t>
  </si>
  <si>
    <t>anslag</t>
  </si>
  <si>
    <t>SUMMA</t>
  </si>
  <si>
    <t>miljö-</t>
  </si>
  <si>
    <t>avgifter</t>
  </si>
  <si>
    <t xml:space="preserve">GIS </t>
  </si>
  <si>
    <t xml:space="preserve">Integration </t>
  </si>
  <si>
    <t xml:space="preserve">Stiftelserev </t>
  </si>
  <si>
    <t xml:space="preserve">Jaktbrott </t>
  </si>
  <si>
    <t xml:space="preserve">L-h nätverk </t>
  </si>
  <si>
    <t xml:space="preserve">Rovdjursförv </t>
  </si>
  <si>
    <t xml:space="preserve">Åsnen </t>
  </si>
  <si>
    <t xml:space="preserve">Sametinget </t>
  </si>
  <si>
    <t>Summa totalt</t>
  </si>
  <si>
    <t xml:space="preserve">Riktade </t>
  </si>
  <si>
    <t>Extra</t>
  </si>
  <si>
    <t>orter</t>
  </si>
  <si>
    <t>Grund-</t>
  </si>
  <si>
    <t>belopp</t>
  </si>
  <si>
    <t>modell</t>
  </si>
  <si>
    <t>Avgår riktade</t>
  </si>
  <si>
    <t xml:space="preserve">2/3 gammal </t>
  </si>
  <si>
    <t>Extra orter</t>
  </si>
  <si>
    <t>Grundblopp</t>
  </si>
  <si>
    <t>Inkl KSO</t>
  </si>
  <si>
    <t>32:2</t>
  </si>
  <si>
    <t>Strukturfond</t>
  </si>
  <si>
    <t>RB 2007</t>
  </si>
  <si>
    <t xml:space="preserve">Adm chefer </t>
  </si>
  <si>
    <t xml:space="preserve">Hämtat från </t>
  </si>
  <si>
    <t>Statistik fördelningsmodell.xls</t>
  </si>
  <si>
    <t>Från villkor</t>
  </si>
  <si>
    <t>32:1</t>
  </si>
  <si>
    <t>Från anslag</t>
  </si>
  <si>
    <t>parametrar</t>
  </si>
  <si>
    <t xml:space="preserve"> Miljösam. </t>
  </si>
  <si>
    <t xml:space="preserve">Sverige </t>
  </si>
  <si>
    <t xml:space="preserve">Avgår extra orter </t>
  </si>
  <si>
    <t>Avgår grundbelopp</t>
  </si>
  <si>
    <t>1-3</t>
  </si>
  <si>
    <t>omf 2009 KSO</t>
  </si>
  <si>
    <t>Att fördela i modell</t>
  </si>
  <si>
    <t>inkl PLO</t>
  </si>
  <si>
    <t>ej PLO</t>
  </si>
  <si>
    <t>Till parametrar</t>
  </si>
  <si>
    <t>Avgår ap 22 utvanslag</t>
  </si>
  <si>
    <t>Ap 22</t>
  </si>
  <si>
    <t>Gem utv medel</t>
  </si>
  <si>
    <t>Terrr.prgrm</t>
  </si>
  <si>
    <t>konc.</t>
  </si>
  <si>
    <t>stiftelser</t>
  </si>
  <si>
    <t>Kamp</t>
  </si>
  <si>
    <t>sport</t>
  </si>
  <si>
    <t>jordbrukar</t>
  </si>
  <si>
    <t>landsb. stöd</t>
  </si>
  <si>
    <t>djurskydds</t>
  </si>
  <si>
    <t>kontr</t>
  </si>
  <si>
    <t>7 parameter</t>
  </si>
  <si>
    <t>jordbr. landsb. stöd</t>
  </si>
  <si>
    <t>djurskyddskontr</t>
  </si>
  <si>
    <t>4-7</t>
  </si>
  <si>
    <t>medel till Z,AC</t>
  </si>
  <si>
    <t>och BD för</t>
  </si>
  <si>
    <t>neddraget med motsv. belopp</t>
  </si>
  <si>
    <t>i villkor till resp. anslagspost</t>
  </si>
  <si>
    <t>Terrr.prgrm*</t>
  </si>
  <si>
    <t>omf 2009 KSO*</t>
  </si>
  <si>
    <t>*Utbet. till KSO.</t>
  </si>
  <si>
    <t xml:space="preserve">modellen </t>
  </si>
  <si>
    <t>samordning</t>
  </si>
  <si>
    <t>flyktingmott/</t>
  </si>
  <si>
    <t>ensamkomm.</t>
  </si>
  <si>
    <t>överföring</t>
  </si>
  <si>
    <t>jordbr stöd</t>
  </si>
  <si>
    <t>Skåne/Blekinge</t>
  </si>
  <si>
    <t>a-kredit</t>
  </si>
  <si>
    <t>Avfallstransp.</t>
  </si>
  <si>
    <t>BP11</t>
  </si>
  <si>
    <t>plo</t>
  </si>
  <si>
    <t>ok</t>
  </si>
  <si>
    <t>U-län</t>
  </si>
  <si>
    <t>Havs</t>
  </si>
  <si>
    <t>planering</t>
  </si>
  <si>
    <t>sju</t>
  </si>
  <si>
    <t>De sju ingångsparametrarna:</t>
  </si>
  <si>
    <t>ofördelat</t>
  </si>
  <si>
    <t>extra medel</t>
  </si>
  <si>
    <t>Penningtv</t>
  </si>
  <si>
    <t>och 2012</t>
  </si>
  <si>
    <t>2009 och</t>
  </si>
  <si>
    <t>utrednings</t>
  </si>
  <si>
    <t xml:space="preserve">kontoren </t>
  </si>
  <si>
    <t>centralmynd</t>
  </si>
  <si>
    <t>för intern delg</t>
  </si>
  <si>
    <t>grundbeloppet = 34,0 - 0,1 * 1,0057. 2012 drogs 100 tkr från varje lst för</t>
  </si>
  <si>
    <t xml:space="preserve">slopanden av Hermesavgiften. From 2013 regleras detta genom att </t>
  </si>
  <si>
    <t>grundbeloppet justeras isf egen kolumn under riktade medel.</t>
  </si>
  <si>
    <t>konc. av</t>
  </si>
  <si>
    <t>MPD</t>
  </si>
  <si>
    <t xml:space="preserve">konc. av </t>
  </si>
  <si>
    <t>div. verks.</t>
  </si>
  <si>
    <t>PLO:</t>
  </si>
  <si>
    <t>ej plo</t>
  </si>
  <si>
    <t>2014-2017</t>
  </si>
  <si>
    <t>Modell 2015, avgår riktade medel som fördelats sedan 1998 (berörda poster uppräknat i 2015-års nivå)</t>
  </si>
  <si>
    <t>Grundbelopp</t>
  </si>
  <si>
    <t>Fördelning 2015</t>
  </si>
  <si>
    <t>Att fördela enligt riksdagsbeslut</t>
  </si>
  <si>
    <t>Avrundningseffekt</t>
  </si>
  <si>
    <t>21* 35,9 mnkr</t>
  </si>
  <si>
    <t>Ofördelat 2016</t>
  </si>
  <si>
    <t>djurskydd</t>
  </si>
  <si>
    <t>BP17</t>
  </si>
  <si>
    <t>VÄB17</t>
  </si>
  <si>
    <t>totalförsvar</t>
  </si>
  <si>
    <t>Resultat per parameter: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</si>
</sst>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r_-;\-* #,##0.00\ _k_r_-;_-* &quot;-&quot;??\ _k_r_-;_-@_-"/>
    <numFmt numFmtId="164" formatCode="0.000"/>
    <numFmt numFmtId="165" formatCode="0.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OrigGarmnd BT"/>
      <family val="1"/>
    </font>
    <font>
      <sz val="8"/>
      <name val="OrigGarmnd BT"/>
      <family val="1"/>
    </font>
    <font>
      <sz val="8"/>
      <color indexed="10"/>
      <name val="OrigGarmnd BT"/>
      <family val="1"/>
    </font>
    <font>
      <b/>
      <sz val="8"/>
      <name val="Arial"/>
      <family val="2"/>
    </font>
    <font>
      <b/>
      <sz val="8"/>
      <name val="OrigGarmnd BT"/>
      <family val="1"/>
    </font>
    <font>
      <u/>
      <sz val="10"/>
      <color indexed="12"/>
      <name val="Arial"/>
      <family val="2"/>
    </font>
    <font>
      <sz val="8"/>
      <color indexed="11"/>
      <name val="Arial"/>
      <family val="2"/>
    </font>
    <font>
      <b/>
      <sz val="11"/>
      <name val="OrigGarmnd BT"/>
      <family val="1"/>
    </font>
    <font>
      <sz val="8"/>
      <color indexed="10"/>
      <name val="Arial"/>
      <family val="2"/>
    </font>
    <font>
      <b/>
      <i/>
      <sz val="8"/>
      <name val="Arial"/>
      <family val="2"/>
    </font>
    <font>
      <i/>
      <sz val="8"/>
      <color indexed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color rgb="FFFFFF00"/>
      <name val="Arial"/>
      <family val="2"/>
    </font>
    <font>
      <sz val="10"/>
      <color rgb="FFFFFF0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FF0000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6" applyNumberFormat="0" applyFill="0" applyAlignment="0" applyProtection="0"/>
    <xf numFmtId="0" fontId="30" fillId="0" borderId="27" applyNumberFormat="0" applyFill="0" applyAlignment="0" applyProtection="0"/>
    <xf numFmtId="0" fontId="31" fillId="0" borderId="28" applyNumberFormat="0" applyFill="0" applyAlignment="0" applyProtection="0"/>
    <xf numFmtId="0" fontId="31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33" fillId="8" borderId="0" applyNumberFormat="0" applyBorder="0" applyAlignment="0" applyProtection="0"/>
    <xf numFmtId="0" fontId="34" fillId="9" borderId="0" applyNumberFormat="0" applyBorder="0" applyAlignment="0" applyProtection="0"/>
    <xf numFmtId="0" fontId="35" fillId="10" borderId="29" applyNumberFormat="0" applyAlignment="0" applyProtection="0"/>
    <xf numFmtId="0" fontId="36" fillId="11" borderId="30" applyNumberFormat="0" applyAlignment="0" applyProtection="0"/>
    <xf numFmtId="0" fontId="37" fillId="11" borderId="29" applyNumberFormat="0" applyAlignment="0" applyProtection="0"/>
    <xf numFmtId="0" fontId="38" fillId="0" borderId="31" applyNumberFormat="0" applyFill="0" applyAlignment="0" applyProtection="0"/>
    <xf numFmtId="0" fontId="39" fillId="12" borderId="32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4" applyNumberFormat="0" applyFill="0" applyAlignment="0" applyProtection="0"/>
    <xf numFmtId="0" fontId="4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3" fillId="37" borderId="0" applyNumberFormat="0" applyBorder="0" applyAlignment="0" applyProtection="0"/>
    <xf numFmtId="0" fontId="1" fillId="13" borderId="33" applyNumberFormat="0" applyFont="0" applyAlignment="0" applyProtection="0"/>
    <xf numFmtId="43" fontId="3" fillId="0" borderId="0" applyFont="0" applyFill="0" applyBorder="0" applyAlignment="0" applyProtection="0"/>
  </cellStyleXfs>
  <cellXfs count="269">
    <xf numFmtId="0" fontId="0" fillId="0" borderId="0" xfId="0"/>
    <xf numFmtId="3" fontId="0" fillId="0" borderId="0" xfId="0" applyNumberFormat="1"/>
    <xf numFmtId="0" fontId="6" fillId="0" borderId="0" xfId="0" applyFont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9" fillId="0" borderId="0" xfId="0" applyNumberFormat="1" applyFont="1" applyBorder="1"/>
    <xf numFmtId="3" fontId="10" fillId="0" borderId="0" xfId="0" applyNumberFormat="1" applyFont="1" applyBorder="1"/>
    <xf numFmtId="0" fontId="11" fillId="0" borderId="0" xfId="0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/>
    <xf numFmtId="0" fontId="4" fillId="0" borderId="3" xfId="0" applyFont="1" applyFill="1" applyBorder="1" applyAlignment="1">
      <alignment horizontal="right"/>
    </xf>
    <xf numFmtId="0" fontId="4" fillId="0" borderId="4" xfId="0" applyFont="1" applyFill="1" applyBorder="1"/>
    <xf numFmtId="3" fontId="4" fillId="0" borderId="4" xfId="0" applyNumberFormat="1" applyFont="1" applyFill="1" applyBorder="1"/>
    <xf numFmtId="3" fontId="4" fillId="0" borderId="3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0" fontId="4" fillId="0" borderId="8" xfId="0" applyFont="1" applyFill="1" applyBorder="1"/>
    <xf numFmtId="0" fontId="4" fillId="0" borderId="3" xfId="0" applyFont="1" applyFill="1" applyBorder="1"/>
    <xf numFmtId="10" fontId="4" fillId="0" borderId="3" xfId="2" applyNumberFormat="1" applyFont="1" applyFill="1" applyBorder="1"/>
    <xf numFmtId="3" fontId="4" fillId="0" borderId="4" xfId="0" applyNumberFormat="1" applyFont="1" applyFill="1" applyBorder="1" applyAlignment="1">
      <alignment horizontal="right"/>
    </xf>
    <xf numFmtId="3" fontId="6" fillId="0" borderId="0" xfId="0" applyNumberFormat="1" applyFont="1"/>
    <xf numFmtId="0" fontId="11" fillId="0" borderId="0" xfId="0" applyFont="1" applyAlignment="1">
      <alignment horizontal="center"/>
    </xf>
    <xf numFmtId="165" fontId="6" fillId="0" borderId="9" xfId="2" applyNumberFormat="1" applyFont="1" applyBorder="1"/>
    <xf numFmtId="0" fontId="9" fillId="0" borderId="0" xfId="0" applyFont="1"/>
    <xf numFmtId="3" fontId="9" fillId="0" borderId="0" xfId="0" applyNumberFormat="1" applyFont="1"/>
    <xf numFmtId="0" fontId="6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Fill="1" applyBorder="1"/>
    <xf numFmtId="9" fontId="6" fillId="0" borderId="0" xfId="0" applyNumberFormat="1" applyFont="1" applyBorder="1"/>
    <xf numFmtId="165" fontId="4" fillId="0" borderId="0" xfId="2" applyNumberFormat="1" applyFont="1" applyFill="1" applyBorder="1"/>
    <xf numFmtId="0" fontId="11" fillId="0" borderId="0" xfId="0" applyFont="1" applyBorder="1"/>
    <xf numFmtId="0" fontId="11" fillId="0" borderId="0" xfId="0" applyFont="1" applyFill="1" applyBorder="1"/>
    <xf numFmtId="165" fontId="4" fillId="0" borderId="0" xfId="0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right"/>
    </xf>
    <xf numFmtId="165" fontId="4" fillId="0" borderId="6" xfId="0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0" fontId="11" fillId="0" borderId="0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0" fillId="0" borderId="0" xfId="0" applyAlignment="1">
      <alignment horizontal="right"/>
    </xf>
    <xf numFmtId="3" fontId="4" fillId="2" borderId="0" xfId="0" applyNumberFormat="1" applyFont="1" applyFill="1" applyBorder="1"/>
    <xf numFmtId="165" fontId="11" fillId="0" borderId="0" xfId="2" applyNumberFormat="1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right"/>
    </xf>
    <xf numFmtId="165" fontId="14" fillId="0" borderId="0" xfId="2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4" fillId="0" borderId="0" xfId="0" quotePrefix="1" applyFont="1" applyFill="1" applyBorder="1"/>
    <xf numFmtId="3" fontId="6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4" fillId="3" borderId="11" xfId="0" applyFont="1" applyFill="1" applyBorder="1" applyAlignment="1">
      <alignment horizontal="right"/>
    </xf>
    <xf numFmtId="0" fontId="0" fillId="3" borderId="11" xfId="0" applyFill="1" applyBorder="1"/>
    <xf numFmtId="0" fontId="4" fillId="3" borderId="0" xfId="0" applyFont="1" applyFill="1" applyBorder="1" applyAlignment="1">
      <alignment horizontal="right"/>
    </xf>
    <xf numFmtId="0" fontId="0" fillId="3" borderId="0" xfId="0" applyFill="1" applyBorder="1"/>
    <xf numFmtId="46" fontId="4" fillId="3" borderId="0" xfId="0" quotePrefix="1" applyNumberFormat="1" applyFont="1" applyFill="1" applyBorder="1" applyAlignment="1">
      <alignment horizontal="right"/>
    </xf>
    <xf numFmtId="3" fontId="0" fillId="3" borderId="0" xfId="0" applyNumberForma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3" xfId="0" applyFont="1" applyFill="1" applyBorder="1"/>
    <xf numFmtId="0" fontId="4" fillId="2" borderId="12" xfId="0" applyFont="1" applyFill="1" applyBorder="1"/>
    <xf numFmtId="0" fontId="4" fillId="2" borderId="0" xfId="0" applyFont="1" applyFill="1" applyBorder="1"/>
    <xf numFmtId="0" fontId="13" fillId="2" borderId="0" xfId="1" applyFill="1" applyBorder="1" applyAlignment="1" applyProtection="1"/>
    <xf numFmtId="0" fontId="4" fillId="2" borderId="14" xfId="0" applyFont="1" applyFill="1" applyBorder="1"/>
    <xf numFmtId="0" fontId="19" fillId="2" borderId="0" xfId="0" applyFont="1" applyFill="1" applyBorder="1"/>
    <xf numFmtId="0" fontId="12" fillId="2" borderId="15" xfId="0" applyFont="1" applyFill="1" applyBorder="1"/>
    <xf numFmtId="0" fontId="4" fillId="2" borderId="15" xfId="0" applyFont="1" applyFill="1" applyBorder="1"/>
    <xf numFmtId="0" fontId="4" fillId="2" borderId="16" xfId="0" applyFont="1" applyFill="1" applyBorder="1"/>
    <xf numFmtId="3" fontId="4" fillId="2" borderId="12" xfId="0" applyNumberFormat="1" applyFont="1" applyFill="1" applyBorder="1"/>
    <xf numFmtId="3" fontId="6" fillId="2" borderId="15" xfId="0" applyNumberFormat="1" applyFont="1" applyFill="1" applyBorder="1" applyAlignment="1">
      <alignment horizontal="right"/>
    </xf>
    <xf numFmtId="0" fontId="6" fillId="2" borderId="15" xfId="0" applyFont="1" applyFill="1" applyBorder="1" applyAlignment="1">
      <alignment horizontal="right"/>
    </xf>
    <xf numFmtId="0" fontId="6" fillId="2" borderId="15" xfId="0" applyFont="1" applyFill="1" applyBorder="1" applyAlignment="1">
      <alignment horizontal="center"/>
    </xf>
    <xf numFmtId="3" fontId="6" fillId="2" borderId="15" xfId="0" applyNumberFormat="1" applyFont="1" applyFill="1" applyBorder="1" applyAlignment="1">
      <alignment horizontal="center"/>
    </xf>
    <xf numFmtId="0" fontId="11" fillId="2" borderId="16" xfId="0" applyFont="1" applyFill="1" applyBorder="1" applyAlignment="1">
      <alignment horizontal="right"/>
    </xf>
    <xf numFmtId="3" fontId="9" fillId="2" borderId="15" xfId="0" applyNumberFormat="1" applyFont="1" applyFill="1" applyBorder="1"/>
    <xf numFmtId="0" fontId="9" fillId="2" borderId="15" xfId="0" applyFont="1" applyFill="1" applyBorder="1" applyAlignment="1">
      <alignment horizontal="right"/>
    </xf>
    <xf numFmtId="0" fontId="9" fillId="2" borderId="15" xfId="0" applyFont="1" applyFill="1" applyBorder="1" applyAlignment="1">
      <alignment horizontal="center"/>
    </xf>
    <xf numFmtId="0" fontId="12" fillId="2" borderId="16" xfId="0" applyFont="1" applyFill="1" applyBorder="1"/>
    <xf numFmtId="165" fontId="4" fillId="2" borderId="0" xfId="2" applyNumberFormat="1" applyFont="1" applyFill="1" applyBorder="1"/>
    <xf numFmtId="3" fontId="4" fillId="2" borderId="15" xfId="0" applyNumberFormat="1" applyFont="1" applyFill="1" applyBorder="1"/>
    <xf numFmtId="3" fontId="12" fillId="2" borderId="16" xfId="0" applyNumberFormat="1" applyFont="1" applyFill="1" applyBorder="1"/>
    <xf numFmtId="165" fontId="4" fillId="2" borderId="0" xfId="0" applyNumberFormat="1" applyFont="1" applyFill="1" applyBorder="1"/>
    <xf numFmtId="3" fontId="12" fillId="2" borderId="15" xfId="0" applyNumberFormat="1" applyFont="1" applyFill="1" applyBorder="1"/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9" xfId="0" applyFont="1" applyFill="1" applyBorder="1"/>
    <xf numFmtId="0" fontId="19" fillId="4" borderId="10" xfId="0" applyFont="1" applyFill="1" applyBorder="1"/>
    <xf numFmtId="0" fontId="4" fillId="4" borderId="11" xfId="0" applyFont="1" applyFill="1" applyBorder="1"/>
    <xf numFmtId="3" fontId="4" fillId="4" borderId="11" xfId="0" applyNumberFormat="1" applyFont="1" applyFill="1" applyBorder="1"/>
    <xf numFmtId="0" fontId="4" fillId="4" borderId="12" xfId="0" applyFont="1" applyFill="1" applyBorder="1"/>
    <xf numFmtId="0" fontId="4" fillId="4" borderId="0" xfId="0" applyFont="1" applyFill="1" applyBorder="1"/>
    <xf numFmtId="3" fontId="4" fillId="4" borderId="0" xfId="0" applyNumberFormat="1" applyFont="1" applyFill="1" applyBorder="1"/>
    <xf numFmtId="3" fontId="4" fillId="4" borderId="0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165" fontId="7" fillId="4" borderId="0" xfId="2" applyNumberFormat="1" applyFont="1" applyFill="1" applyBorder="1" applyAlignment="1">
      <alignment horizontal="right"/>
    </xf>
    <xf numFmtId="0" fontId="11" fillId="4" borderId="0" xfId="0" applyFont="1" applyFill="1" applyBorder="1"/>
    <xf numFmtId="3" fontId="11" fillId="4" borderId="0" xfId="0" applyNumberFormat="1" applyFont="1" applyFill="1" applyBorder="1" applyAlignment="1">
      <alignment horizontal="right"/>
    </xf>
    <xf numFmtId="165" fontId="7" fillId="4" borderId="0" xfId="2" quotePrefix="1" applyNumberFormat="1" applyFont="1" applyFill="1" applyBorder="1" applyAlignment="1">
      <alignment horizontal="right"/>
    </xf>
    <xf numFmtId="0" fontId="11" fillId="4" borderId="0" xfId="0" applyFont="1" applyFill="1" applyBorder="1" applyAlignment="1">
      <alignment horizontal="right"/>
    </xf>
    <xf numFmtId="1" fontId="11" fillId="4" borderId="0" xfId="0" applyNumberFormat="1" applyFont="1" applyFill="1" applyBorder="1" applyAlignment="1">
      <alignment horizontal="right"/>
    </xf>
    <xf numFmtId="3" fontId="6" fillId="4" borderId="0" xfId="0" quotePrefix="1" applyNumberFormat="1" applyFont="1" applyFill="1" applyBorder="1" applyAlignment="1">
      <alignment horizontal="right"/>
    </xf>
    <xf numFmtId="165" fontId="17" fillId="4" borderId="0" xfId="2" applyNumberFormat="1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9" fontId="4" fillId="4" borderId="0" xfId="2" applyFont="1" applyFill="1" applyBorder="1" applyAlignment="1">
      <alignment horizontal="right"/>
    </xf>
    <xf numFmtId="9" fontId="6" fillId="4" borderId="0" xfId="2" applyFont="1" applyFill="1" applyBorder="1" applyAlignment="1">
      <alignment horizontal="right"/>
    </xf>
    <xf numFmtId="0" fontId="7" fillId="4" borderId="0" xfId="0" applyFont="1" applyFill="1" applyBorder="1" applyAlignment="1">
      <alignment horizontal="right"/>
    </xf>
    <xf numFmtId="10" fontId="4" fillId="4" borderId="0" xfId="0" applyNumberFormat="1" applyFont="1" applyFill="1" applyBorder="1" applyAlignment="1">
      <alignment horizontal="right"/>
    </xf>
    <xf numFmtId="3" fontId="4" fillId="4" borderId="0" xfId="2" applyNumberFormat="1" applyFont="1" applyFill="1" applyBorder="1" applyAlignment="1">
      <alignment horizontal="right"/>
    </xf>
    <xf numFmtId="3" fontId="6" fillId="4" borderId="0" xfId="2" applyNumberFormat="1" applyFont="1" applyFill="1" applyBorder="1" applyAlignment="1">
      <alignment horizontal="right"/>
    </xf>
    <xf numFmtId="10" fontId="7" fillId="4" borderId="0" xfId="2" applyNumberFormat="1" applyFont="1" applyFill="1" applyBorder="1" applyAlignment="1">
      <alignment horizontal="right"/>
    </xf>
    <xf numFmtId="0" fontId="4" fillId="4" borderId="17" xfId="0" applyFont="1" applyFill="1" applyBorder="1"/>
    <xf numFmtId="0" fontId="4" fillId="4" borderId="18" xfId="0" applyFont="1" applyFill="1" applyBorder="1" applyAlignment="1">
      <alignment horizontal="right"/>
    </xf>
    <xf numFmtId="3" fontId="4" fillId="4" borderId="18" xfId="0" applyNumberFormat="1" applyFont="1" applyFill="1" applyBorder="1" applyAlignment="1">
      <alignment horizontal="right"/>
    </xf>
    <xf numFmtId="0" fontId="11" fillId="4" borderId="8" xfId="0" applyFont="1" applyFill="1" applyBorder="1" applyAlignment="1">
      <alignment horizontal="right"/>
    </xf>
    <xf numFmtId="0" fontId="4" fillId="4" borderId="2" xfId="0" applyFont="1" applyFill="1" applyBorder="1"/>
    <xf numFmtId="0" fontId="11" fillId="4" borderId="3" xfId="0" applyFont="1" applyFill="1" applyBorder="1" applyAlignment="1">
      <alignment horizontal="left"/>
    </xf>
    <xf numFmtId="0" fontId="4" fillId="5" borderId="4" xfId="0" applyFont="1" applyFill="1" applyBorder="1"/>
    <xf numFmtId="0" fontId="11" fillId="4" borderId="3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right"/>
    </xf>
    <xf numFmtId="10" fontId="4" fillId="4" borderId="4" xfId="0" applyNumberFormat="1" applyFont="1" applyFill="1" applyBorder="1" applyAlignment="1">
      <alignment horizontal="right"/>
    </xf>
    <xf numFmtId="10" fontId="6" fillId="4" borderId="7" xfId="0" applyNumberFormat="1" applyFont="1" applyFill="1" applyBorder="1" applyAlignment="1">
      <alignment horizontal="right"/>
    </xf>
    <xf numFmtId="10" fontId="6" fillId="4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10" fontId="4" fillId="2" borderId="0" xfId="2" applyNumberFormat="1" applyFont="1" applyFill="1" applyBorder="1" applyAlignment="1">
      <alignment horizontal="right"/>
    </xf>
    <xf numFmtId="165" fontId="4" fillId="2" borderId="0" xfId="2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/>
    <xf numFmtId="3" fontId="10" fillId="0" borderId="0" xfId="0" applyNumberFormat="1" applyFont="1" applyFill="1" applyBorder="1"/>
    <xf numFmtId="3" fontId="9" fillId="0" borderId="0" xfId="0" applyNumberFormat="1" applyFont="1" applyFill="1" applyBorder="1"/>
    <xf numFmtId="165" fontId="7" fillId="4" borderId="0" xfId="2" applyNumberFormat="1" applyFont="1" applyFill="1" applyBorder="1"/>
    <xf numFmtId="0" fontId="7" fillId="4" borderId="0" xfId="0" applyFont="1" applyFill="1" applyBorder="1"/>
    <xf numFmtId="165" fontId="18" fillId="4" borderId="0" xfId="2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21" fillId="2" borderId="0" xfId="0" applyFont="1" applyFill="1" applyBorder="1" applyAlignment="1">
      <alignment horizontal="right"/>
    </xf>
    <xf numFmtId="165" fontId="6" fillId="0" borderId="20" xfId="2" applyNumberFormat="1" applyFont="1" applyFill="1" applyBorder="1"/>
    <xf numFmtId="165" fontId="6" fillId="0" borderId="9" xfId="2" quotePrefix="1" applyNumberFormat="1" applyFont="1" applyFill="1" applyBorder="1"/>
    <xf numFmtId="165" fontId="6" fillId="0" borderId="9" xfId="2" applyNumberFormat="1" applyFont="1" applyFill="1" applyBorder="1"/>
    <xf numFmtId="9" fontId="4" fillId="0" borderId="0" xfId="0" applyNumberFormat="1" applyFont="1" applyFill="1" applyBorder="1" applyAlignment="1">
      <alignment horizontal="right"/>
    </xf>
    <xf numFmtId="9" fontId="4" fillId="0" borderId="0" xfId="2" applyFont="1" applyFill="1" applyBorder="1"/>
    <xf numFmtId="1" fontId="5" fillId="0" borderId="0" xfId="0" quotePrefix="1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quotePrefix="1" applyNumberFormat="1" applyFont="1" applyFill="1" applyBorder="1" applyAlignment="1">
      <alignment horizontal="right"/>
    </xf>
    <xf numFmtId="9" fontId="5" fillId="0" borderId="0" xfId="2" applyFont="1" applyFill="1" applyBorder="1" applyAlignment="1">
      <alignment horizontal="right"/>
    </xf>
    <xf numFmtId="9" fontId="4" fillId="0" borderId="0" xfId="2" applyFont="1" applyFill="1" applyBorder="1" applyAlignment="1">
      <alignment horizontal="right"/>
    </xf>
    <xf numFmtId="10" fontId="4" fillId="0" borderId="0" xfId="2" applyNumberFormat="1" applyFont="1" applyFill="1" applyBorder="1" applyAlignment="1">
      <alignment horizontal="right"/>
    </xf>
    <xf numFmtId="3" fontId="4" fillId="0" borderId="0" xfId="2" applyNumberFormat="1" applyFont="1" applyFill="1" applyBorder="1" applyAlignment="1">
      <alignment horizontal="right"/>
    </xf>
    <xf numFmtId="0" fontId="20" fillId="0" borderId="0" xfId="0" applyFont="1" applyFill="1" applyBorder="1"/>
    <xf numFmtId="3" fontId="11" fillId="0" borderId="0" xfId="0" applyNumberFormat="1" applyFont="1" applyFill="1" applyBorder="1"/>
    <xf numFmtId="9" fontId="11" fillId="0" borderId="0" xfId="2" applyFont="1" applyFill="1" applyBorder="1" applyAlignment="1">
      <alignment horizontal="right"/>
    </xf>
    <xf numFmtId="1" fontId="11" fillId="0" borderId="0" xfId="0" quotePrefix="1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left"/>
    </xf>
    <xf numFmtId="10" fontId="4" fillId="0" borderId="0" xfId="2" quotePrefix="1" applyNumberFormat="1" applyFont="1" applyFill="1" applyBorder="1" applyAlignment="1">
      <alignment horizontal="right"/>
    </xf>
    <xf numFmtId="4" fontId="4" fillId="0" borderId="0" xfId="2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4" fillId="0" borderId="12" xfId="0" applyFont="1" applyFill="1" applyBorder="1"/>
    <xf numFmtId="0" fontId="4" fillId="0" borderId="14" xfId="0" applyFont="1" applyFill="1" applyBorder="1" applyAlignment="1">
      <alignment horizontal="right"/>
    </xf>
    <xf numFmtId="0" fontId="4" fillId="0" borderId="17" xfId="0" applyFont="1" applyFill="1" applyBorder="1"/>
    <xf numFmtId="1" fontId="19" fillId="0" borderId="0" xfId="0" applyNumberFormat="1" applyFont="1" applyFill="1" applyBorder="1" applyAlignment="1">
      <alignment horizontal="right"/>
    </xf>
    <xf numFmtId="3" fontId="19" fillId="0" borderId="0" xfId="2" applyNumberFormat="1" applyFont="1" applyFill="1" applyBorder="1" applyAlignment="1">
      <alignment horizontal="right"/>
    </xf>
    <xf numFmtId="0" fontId="11" fillId="0" borderId="5" xfId="0" applyFont="1" applyFill="1" applyBorder="1"/>
    <xf numFmtId="0" fontId="11" fillId="0" borderId="7" xfId="0" applyFont="1" applyFill="1" applyBorder="1"/>
    <xf numFmtId="0" fontId="11" fillId="0" borderId="0" xfId="0" applyFont="1"/>
    <xf numFmtId="3" fontId="11" fillId="0" borderId="0" xfId="0" applyNumberFormat="1" applyFont="1"/>
    <xf numFmtId="165" fontId="11" fillId="0" borderId="0" xfId="0" applyNumberFormat="1" applyFont="1" applyFill="1" applyBorder="1" applyAlignment="1">
      <alignment horizontal="right"/>
    </xf>
    <xf numFmtId="3" fontId="4" fillId="5" borderId="13" xfId="0" applyNumberFormat="1" applyFont="1" applyFill="1" applyBorder="1"/>
    <xf numFmtId="3" fontId="4" fillId="5" borderId="14" xfId="0" applyNumberFormat="1" applyFont="1" applyFill="1" applyBorder="1"/>
    <xf numFmtId="1" fontId="5" fillId="5" borderId="14" xfId="0" quotePrefix="1" applyNumberFormat="1" applyFont="1" applyFill="1" applyBorder="1" applyAlignment="1">
      <alignment horizontal="right"/>
    </xf>
    <xf numFmtId="1" fontId="5" fillId="5" borderId="14" xfId="0" applyNumberFormat="1" applyFont="1" applyFill="1" applyBorder="1" applyAlignment="1">
      <alignment horizontal="right"/>
    </xf>
    <xf numFmtId="3" fontId="4" fillId="5" borderId="14" xfId="0" applyNumberFormat="1" applyFont="1" applyFill="1" applyBorder="1" applyAlignment="1">
      <alignment horizontal="right"/>
    </xf>
    <xf numFmtId="3" fontId="4" fillId="5" borderId="19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0" fontId="15" fillId="0" borderId="0" xfId="0" applyFont="1" applyBorder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14" xfId="0" applyFont="1" applyFill="1" applyBorder="1"/>
    <xf numFmtId="0" fontId="4" fillId="0" borderId="18" xfId="0" applyFont="1" applyFill="1" applyBorder="1" applyAlignment="1">
      <alignment horizontal="right"/>
    </xf>
    <xf numFmtId="3" fontId="11" fillId="0" borderId="18" xfId="0" applyNumberFormat="1" applyFont="1" applyFill="1" applyBorder="1" applyAlignment="1">
      <alignment horizontal="right"/>
    </xf>
    <xf numFmtId="2" fontId="4" fillId="0" borderId="18" xfId="0" applyNumberFormat="1" applyFont="1" applyFill="1" applyBorder="1" applyAlignment="1">
      <alignment horizontal="right"/>
    </xf>
    <xf numFmtId="0" fontId="4" fillId="0" borderId="19" xfId="0" applyFont="1" applyFill="1" applyBorder="1" applyAlignment="1">
      <alignment horizontal="right"/>
    </xf>
    <xf numFmtId="0" fontId="0" fillId="3" borderId="13" xfId="0" applyFill="1" applyBorder="1"/>
    <xf numFmtId="0" fontId="0" fillId="3" borderId="14" xfId="0" applyFill="1" applyBorder="1"/>
    <xf numFmtId="3" fontId="11" fillId="3" borderId="19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1" fontId="23" fillId="0" borderId="0" xfId="0" applyNumberFormat="1" applyFont="1" applyFill="1" applyBorder="1" applyAlignment="1">
      <alignment horizontal="right"/>
    </xf>
    <xf numFmtId="9" fontId="23" fillId="0" borderId="0" xfId="2" applyFont="1" applyFill="1" applyBorder="1" applyAlignment="1">
      <alignment horizontal="right"/>
    </xf>
    <xf numFmtId="3" fontId="22" fillId="0" borderId="0" xfId="2" applyNumberFormat="1" applyFont="1" applyFill="1" applyBorder="1" applyAlignment="1">
      <alignment horizontal="right"/>
    </xf>
    <xf numFmtId="165" fontId="23" fillId="0" borderId="0" xfId="2" applyNumberFormat="1" applyFont="1" applyFill="1" applyBorder="1" applyAlignment="1">
      <alignment horizontal="right"/>
    </xf>
    <xf numFmtId="3" fontId="23" fillId="0" borderId="0" xfId="2" applyNumberFormat="1" applyFont="1" applyFill="1" applyBorder="1" applyAlignment="1">
      <alignment horizontal="right"/>
    </xf>
    <xf numFmtId="0" fontId="4" fillId="2" borderId="21" xfId="0" applyFont="1" applyFill="1" applyBorder="1"/>
    <xf numFmtId="3" fontId="6" fillId="2" borderId="21" xfId="0" applyNumberFormat="1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3" fontId="12" fillId="2" borderId="21" xfId="0" applyNumberFormat="1" applyFont="1" applyFill="1" applyBorder="1"/>
    <xf numFmtId="165" fontId="9" fillId="0" borderId="22" xfId="0" applyNumberFormat="1" applyFont="1" applyBorder="1"/>
    <xf numFmtId="16" fontId="4" fillId="0" borderId="0" xfId="0" quotePrefix="1" applyNumberFormat="1" applyFont="1" applyFill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right"/>
    </xf>
    <xf numFmtId="3" fontId="0" fillId="0" borderId="11" xfId="0" applyNumberFormat="1" applyBorder="1"/>
    <xf numFmtId="0" fontId="0" fillId="0" borderId="13" xfId="0" applyBorder="1"/>
    <xf numFmtId="0" fontId="0" fillId="0" borderId="12" xfId="0" applyBorder="1"/>
    <xf numFmtId="0" fontId="0" fillId="0" borderId="0" xfId="0" applyBorder="1" applyAlignment="1">
      <alignment horizontal="right"/>
    </xf>
    <xf numFmtId="3" fontId="0" fillId="0" borderId="0" xfId="0" applyNumberFormat="1" applyBorder="1"/>
    <xf numFmtId="0" fontId="0" fillId="0" borderId="14" xfId="0" applyBorder="1"/>
    <xf numFmtId="3" fontId="0" fillId="0" borderId="0" xfId="0" applyNumberFormat="1" applyBorder="1" applyAlignment="1">
      <alignment horizontal="right"/>
    </xf>
    <xf numFmtId="165" fontId="0" fillId="0" borderId="0" xfId="2" applyNumberFormat="1" applyFont="1" applyBorder="1"/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right"/>
    </xf>
    <xf numFmtId="3" fontId="0" fillId="0" borderId="18" xfId="0" applyNumberFormat="1" applyBorder="1"/>
    <xf numFmtId="0" fontId="0" fillId="0" borderId="19" xfId="0" applyBorder="1"/>
    <xf numFmtId="0" fontId="4" fillId="0" borderId="0" xfId="0" applyFont="1"/>
    <xf numFmtId="0" fontId="4" fillId="3" borderId="0" xfId="0" applyFont="1" applyFill="1" applyBorder="1"/>
    <xf numFmtId="10" fontId="4" fillId="2" borderId="0" xfId="0" applyNumberFormat="1" applyFont="1" applyFill="1" applyBorder="1"/>
    <xf numFmtId="10" fontId="4" fillId="2" borderId="0" xfId="0" applyNumberFormat="1" applyFont="1" applyFill="1" applyBorder="1" applyAlignment="1">
      <alignment horizontal="right"/>
    </xf>
    <xf numFmtId="9" fontId="11" fillId="4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0" fontId="24" fillId="3" borderId="0" xfId="0" applyFont="1" applyFill="1" applyBorder="1" applyAlignment="1">
      <alignment horizontal="right"/>
    </xf>
    <xf numFmtId="0" fontId="6" fillId="2" borderId="0" xfId="0" applyFont="1" applyFill="1" applyBorder="1"/>
    <xf numFmtId="3" fontId="0" fillId="0" borderId="14" xfId="0" applyNumberFormat="1" applyBorder="1"/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/>
    <xf numFmtId="1" fontId="11" fillId="0" borderId="0" xfId="0" applyNumberFormat="1" applyFont="1" applyBorder="1"/>
    <xf numFmtId="3" fontId="11" fillId="0" borderId="0" xfId="0" applyNumberFormat="1" applyFont="1" applyBorder="1"/>
    <xf numFmtId="0" fontId="25" fillId="3" borderId="0" xfId="0" applyFont="1" applyFill="1" applyBorder="1" applyAlignment="1">
      <alignment horizontal="right"/>
    </xf>
    <xf numFmtId="0" fontId="6" fillId="0" borderId="0" xfId="0" applyFont="1" applyFill="1" applyBorder="1"/>
    <xf numFmtId="0" fontId="27" fillId="3" borderId="0" xfId="0" applyFont="1" applyFill="1" applyBorder="1"/>
    <xf numFmtId="0" fontId="25" fillId="2" borderId="0" xfId="0" applyFont="1" applyFill="1" applyBorder="1" applyAlignment="1">
      <alignment horizontal="right"/>
    </xf>
    <xf numFmtId="0" fontId="24" fillId="2" borderId="0" xfId="0" applyFont="1" applyFill="1" applyBorder="1" applyAlignment="1">
      <alignment horizontal="right"/>
    </xf>
    <xf numFmtId="3" fontId="6" fillId="3" borderId="0" xfId="0" applyNumberFormat="1" applyFont="1" applyFill="1" applyBorder="1" applyAlignment="1">
      <alignment horizontal="right"/>
    </xf>
    <xf numFmtId="0" fontId="19" fillId="3" borderId="23" xfId="0" applyFont="1" applyFill="1" applyBorder="1" applyAlignment="1">
      <alignment horizontal="left"/>
    </xf>
    <xf numFmtId="0" fontId="19" fillId="3" borderId="24" xfId="0" applyFont="1" applyFill="1" applyBorder="1" applyAlignment="1">
      <alignment horizontal="left"/>
    </xf>
    <xf numFmtId="0" fontId="24" fillId="3" borderId="24" xfId="0" applyFont="1" applyFill="1" applyBorder="1" applyAlignment="1">
      <alignment horizontal="right"/>
    </xf>
    <xf numFmtId="0" fontId="4" fillId="3" borderId="24" xfId="0" applyFont="1" applyFill="1" applyBorder="1" applyAlignment="1">
      <alignment horizontal="right"/>
    </xf>
    <xf numFmtId="3" fontId="4" fillId="3" borderId="24" xfId="0" applyNumberFormat="1" applyFont="1" applyFill="1" applyBorder="1" applyAlignment="1">
      <alignment horizontal="right"/>
    </xf>
    <xf numFmtId="3" fontId="8" fillId="3" borderId="24" xfId="0" applyNumberFormat="1" applyFont="1" applyFill="1" applyBorder="1" applyAlignment="1">
      <alignment horizontal="right" vertical="top" wrapText="1"/>
    </xf>
    <xf numFmtId="3" fontId="11" fillId="3" borderId="25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8" xfId="0" applyFill="1" applyBorder="1" applyAlignment="1">
      <alignment horizontal="right"/>
    </xf>
    <xf numFmtId="0" fontId="4" fillId="6" borderId="0" xfId="0" applyFont="1" applyFill="1" applyBorder="1" applyAlignment="1">
      <alignment horizontal="right"/>
    </xf>
    <xf numFmtId="0" fontId="0" fillId="6" borderId="0" xfId="0" applyFill="1" applyBorder="1" applyAlignment="1">
      <alignment horizontal="right"/>
    </xf>
    <xf numFmtId="0" fontId="24" fillId="38" borderId="0" xfId="0" applyFont="1" applyFill="1" applyBorder="1" applyAlignment="1">
      <alignment horizontal="right"/>
    </xf>
    <xf numFmtId="0" fontId="26" fillId="38" borderId="14" xfId="0" applyFont="1" applyFill="1" applyBorder="1"/>
    <xf numFmtId="0" fontId="4" fillId="38" borderId="0" xfId="0" applyFont="1" applyFill="1" applyBorder="1"/>
    <xf numFmtId="0" fontId="4" fillId="38" borderId="0" xfId="0" applyFont="1" applyFill="1" applyBorder="1" applyAlignment="1">
      <alignment horizontal="right"/>
    </xf>
    <xf numFmtId="0" fontId="4" fillId="38" borderId="14" xfId="0" applyFont="1" applyFill="1" applyBorder="1" applyAlignment="1">
      <alignment horizontal="right"/>
    </xf>
    <xf numFmtId="3" fontId="4" fillId="38" borderId="14" xfId="0" applyNumberFormat="1" applyFont="1" applyFill="1" applyBorder="1" applyAlignment="1">
      <alignment horizontal="right"/>
    </xf>
    <xf numFmtId="3" fontId="4" fillId="38" borderId="0" xfId="0" applyNumberFormat="1" applyFont="1" applyFill="1" applyBorder="1" applyAlignment="1">
      <alignment horizontal="right"/>
    </xf>
    <xf numFmtId="0" fontId="0" fillId="38" borderId="0" xfId="0" applyFill="1" applyBorder="1"/>
    <xf numFmtId="0" fontId="4" fillId="3" borderId="18" xfId="0" applyFont="1" applyFill="1" applyBorder="1" applyAlignment="1">
      <alignment horizontal="right"/>
    </xf>
    <xf numFmtId="0" fontId="44" fillId="38" borderId="0" xfId="0" applyFont="1" applyFill="1" applyBorder="1" applyAlignment="1">
      <alignment horizontal="right"/>
    </xf>
    <xf numFmtId="0" fontId="45" fillId="38" borderId="0" xfId="0" applyFont="1" applyFill="1" applyBorder="1" applyAlignment="1">
      <alignment horizontal="right"/>
    </xf>
    <xf numFmtId="0" fontId="45" fillId="38" borderId="0" xfId="0" applyFont="1" applyFill="1" applyBorder="1"/>
    <xf numFmtId="3" fontId="45" fillId="38" borderId="0" xfId="0" applyNumberFormat="1" applyFont="1" applyFill="1" applyBorder="1" applyAlignment="1">
      <alignment horizontal="right"/>
    </xf>
    <xf numFmtId="3" fontId="45" fillId="38" borderId="14" xfId="0" applyNumberFormat="1" applyFont="1" applyFill="1" applyBorder="1" applyAlignment="1">
      <alignment horizontal="right"/>
    </xf>
    <xf numFmtId="3" fontId="46" fillId="6" borderId="11" xfId="0" applyNumberFormat="1" applyFont="1" applyFill="1" applyBorder="1" applyAlignment="1">
      <alignment horizontal="right"/>
    </xf>
    <xf numFmtId="3" fontId="46" fillId="0" borderId="0" xfId="0" applyNumberFormat="1" applyFont="1" applyFill="1" applyBorder="1" applyAlignment="1">
      <alignment horizontal="right"/>
    </xf>
    <xf numFmtId="3" fontId="45" fillId="0" borderId="0" xfId="0" applyNumberFormat="1" applyFont="1" applyFill="1" applyBorder="1" applyAlignment="1">
      <alignment horizontal="right"/>
    </xf>
    <xf numFmtId="3" fontId="45" fillId="4" borderId="0" xfId="0" applyNumberFormat="1" applyFont="1" applyFill="1" applyBorder="1" applyAlignment="1">
      <alignment horizontal="right"/>
    </xf>
    <xf numFmtId="3" fontId="45" fillId="4" borderId="3" xfId="0" applyNumberFormat="1" applyFont="1" applyFill="1" applyBorder="1" applyAlignment="1">
      <alignment horizontal="right"/>
    </xf>
    <xf numFmtId="3" fontId="45" fillId="4" borderId="5" xfId="0" applyNumberFormat="1" applyFont="1" applyFill="1" applyBorder="1" applyAlignment="1">
      <alignment horizontal="right"/>
    </xf>
  </cellXfs>
  <cellStyles count="48">
    <cellStyle name="20% - Dekorfärg1" xfId="23" builtinId="30" customBuiltin="1"/>
    <cellStyle name="20% - Dekorfärg2" xfId="27" builtinId="34" customBuiltin="1"/>
    <cellStyle name="20% - Dekorfärg3" xfId="31" builtinId="38" customBuiltin="1"/>
    <cellStyle name="20% - Dekorfärg4" xfId="35" builtinId="42" customBuiltin="1"/>
    <cellStyle name="20% - Dekorfärg5" xfId="39" builtinId="46" customBuiltin="1"/>
    <cellStyle name="20% - Dekorfärg6" xfId="43" builtinId="50" customBuiltin="1"/>
    <cellStyle name="40% - Dekorfärg1" xfId="24" builtinId="31" customBuiltin="1"/>
    <cellStyle name="40% - Dekorfärg2" xfId="28" builtinId="35" customBuiltin="1"/>
    <cellStyle name="40% - Dekorfärg3" xfId="32" builtinId="39" customBuiltin="1"/>
    <cellStyle name="40% - Dekorfärg4" xfId="36" builtinId="43" customBuiltin="1"/>
    <cellStyle name="40% - Dekorfärg5" xfId="40" builtinId="47" customBuiltin="1"/>
    <cellStyle name="40% - Dekorfärg6" xfId="44" builtinId="51" customBuiltin="1"/>
    <cellStyle name="60% - Dekorfärg1" xfId="25" builtinId="32" customBuiltin="1"/>
    <cellStyle name="60% - Dekorfärg2" xfId="29" builtinId="36" customBuiltin="1"/>
    <cellStyle name="60% - Dekorfärg3" xfId="33" builtinId="40" customBuiltin="1"/>
    <cellStyle name="60% - Dekorfärg4" xfId="37" builtinId="44" customBuiltin="1"/>
    <cellStyle name="60% - Dekorfärg5" xfId="41" builtinId="48" customBuiltin="1"/>
    <cellStyle name="60% - Dekorfärg6" xfId="45" builtinId="52" customBuiltin="1"/>
    <cellStyle name="Anteckning 2" xfId="46"/>
    <cellStyle name="Beräkning" xfId="16" builtinId="22" customBuiltin="1"/>
    <cellStyle name="Bra" xfId="11" builtinId="26" customBuiltin="1"/>
    <cellStyle name="Dålig" xfId="12" builtinId="27" customBuiltin="1"/>
    <cellStyle name="Färg1" xfId="22" builtinId="29" customBuiltin="1"/>
    <cellStyle name="Färg2" xfId="26" builtinId="33" customBuiltin="1"/>
    <cellStyle name="Färg3" xfId="30" builtinId="37" customBuiltin="1"/>
    <cellStyle name="Färg4" xfId="34" builtinId="41" customBuiltin="1"/>
    <cellStyle name="Färg5" xfId="38" builtinId="45" customBuiltin="1"/>
    <cellStyle name="Färg6" xfId="42" builtinId="49" customBuiltin="1"/>
    <cellStyle name="Förklarande text" xfId="20" builtinId="53" customBuiltin="1"/>
    <cellStyle name="Hyperlänk" xfId="1" builtinId="8"/>
    <cellStyle name="Indata" xfId="14" builtinId="20" customBuiltin="1"/>
    <cellStyle name="Kontrollcell" xfId="18" builtinId="23" customBuiltin="1"/>
    <cellStyle name="Länkad cell" xfId="17" builtinId="24" customBuiltin="1"/>
    <cellStyle name="Neutral" xfId="13" builtinId="28" customBuiltin="1"/>
    <cellStyle name="Normal" xfId="0" builtinId="0" customBuiltin="1"/>
    <cellStyle name="Normal 2" xfId="4"/>
    <cellStyle name="Normal 3" xfId="3"/>
    <cellStyle name="Procent" xfId="2" builtinId="5"/>
    <cellStyle name="Procent 2" xfId="5"/>
    <cellStyle name="Rubrik" xfId="6" builtinId="15" customBuiltin="1"/>
    <cellStyle name="Rubrik 1" xfId="7" builtinId="16" customBuiltin="1"/>
    <cellStyle name="Rubrik 2" xfId="8" builtinId="17" customBuiltin="1"/>
    <cellStyle name="Rubrik 3" xfId="9" builtinId="18" customBuiltin="1"/>
    <cellStyle name="Rubrik 4" xfId="10" builtinId="19" customBuiltin="1"/>
    <cellStyle name="Summa" xfId="21" builtinId="25" customBuiltin="1"/>
    <cellStyle name="Tusental 2" xfId="47"/>
    <cellStyle name="Utdata" xfId="15" builtinId="21" customBuiltin="1"/>
    <cellStyle name="Varningstext" xfId="19" builtinId="11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SSN1005A\AppData\Local\Microsoft\Windows\Temporary%20Internet%20Files\L&#228;nsstyrelserna%2014\L&#228;nsstyrelserna%2010\L&#228;nsstyrelserna%2009\Beslutat%20ex\Statistik%20f&#246;rdelningsmodell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50"/>
  <sheetViews>
    <sheetView showGridLines="0" tabSelected="1" view="pageLayout" topLeftCell="BD4" zoomScale="80" zoomScaleNormal="75" zoomScaleSheetLayoutView="90" zoomScalePageLayoutView="80" workbookViewId="0">
      <selection activeCell="DA36" sqref="DA36"/>
    </sheetView>
  </sheetViews>
  <sheetFormatPr defaultRowHeight="15.75" x14ac:dyDescent="0.25"/>
  <cols>
    <col min="1" max="1" width="15.140625" style="3" bestFit="1" customWidth="1"/>
    <col min="2" max="2" width="9.140625" style="3"/>
    <col min="3" max="3" width="10.5703125" style="3" bestFit="1" customWidth="1"/>
    <col min="4" max="4" width="12.140625" style="3" customWidth="1"/>
    <col min="5" max="5" width="9.140625" style="3"/>
    <col min="6" max="6" width="3.85546875" style="3" customWidth="1"/>
    <col min="7" max="7" width="2.7109375" style="3" customWidth="1"/>
    <col min="8" max="8" width="8.85546875" style="3" bestFit="1" customWidth="1"/>
    <col min="9" max="9" width="14.5703125" style="3" bestFit="1" customWidth="1"/>
    <col min="10" max="10" width="2.28515625" style="4" customWidth="1"/>
    <col min="11" max="11" width="1.42578125" style="4" customWidth="1"/>
    <col min="12" max="12" width="8.7109375" style="4" customWidth="1"/>
    <col min="13" max="13" width="5.28515625" style="4" bestFit="1" customWidth="1"/>
    <col min="14" max="14" width="0" style="4" hidden="1" customWidth="1"/>
    <col min="15" max="15" width="10.5703125" style="4" bestFit="1" customWidth="1"/>
    <col min="16" max="16" width="8" style="4" bestFit="1" customWidth="1"/>
    <col min="17" max="17" width="9.42578125" style="4" bestFit="1" customWidth="1"/>
    <col min="18" max="18" width="9.42578125" style="4" customWidth="1"/>
    <col min="19" max="19" width="10.85546875" style="4" bestFit="1" customWidth="1"/>
    <col min="20" max="20" width="6" style="4" bestFit="1" customWidth="1"/>
    <col min="21" max="21" width="9.28515625" style="4" bestFit="1" customWidth="1"/>
    <col min="22" max="22" width="9.28515625" style="4" hidden="1" customWidth="1"/>
    <col min="23" max="23" width="11.28515625" style="4" hidden="1" customWidth="1"/>
    <col min="24" max="26" width="11.140625" customWidth="1"/>
    <col min="27" max="28" width="11.28515625" bestFit="1" customWidth="1"/>
    <col min="29" max="29" width="7.42578125" customWidth="1"/>
    <col min="30" max="30" width="6.85546875" customWidth="1"/>
    <col min="31" max="31" width="8.140625" customWidth="1"/>
    <col min="32" max="32" width="10" bestFit="1" customWidth="1"/>
    <col min="33" max="33" width="10" customWidth="1"/>
    <col min="34" max="34" width="11.42578125" bestFit="1" customWidth="1"/>
    <col min="35" max="35" width="11.42578125" customWidth="1"/>
    <col min="36" max="36" width="9" bestFit="1" customWidth="1"/>
    <col min="37" max="37" width="8.140625" customWidth="1"/>
    <col min="38" max="39" width="8.7109375" customWidth="1"/>
    <col min="40" max="40" width="8.140625" customWidth="1"/>
    <col min="41" max="44" width="9.85546875" customWidth="1"/>
    <col min="45" max="45" width="2.28515625" style="3" customWidth="1"/>
    <col min="46" max="47" width="11.5703125" style="3" hidden="1" customWidth="1"/>
    <col min="48" max="48" width="6.5703125" style="3" customWidth="1"/>
    <col min="49" max="54" width="11.5703125" style="3" hidden="1" customWidth="1"/>
    <col min="55" max="57" width="3" style="3" customWidth="1"/>
    <col min="58" max="58" width="5.140625" style="3" customWidth="1"/>
    <col min="59" max="62" width="11.5703125" style="3" hidden="1" customWidth="1"/>
    <col min="63" max="63" width="3.85546875" style="3" customWidth="1"/>
    <col min="64" max="66" width="9.140625" style="3"/>
    <col min="67" max="67" width="0.140625" style="3" customWidth="1"/>
    <col min="68" max="68" width="11.7109375" style="3" bestFit="1" customWidth="1"/>
    <col min="69" max="70" width="9.140625" style="3"/>
    <col min="71" max="71" width="9.7109375" style="3" customWidth="1"/>
    <col min="72" max="72" width="9.140625" style="3"/>
    <col min="73" max="75" width="9.140625" style="3" hidden="1" customWidth="1"/>
    <col min="76" max="76" width="9.7109375" style="3" customWidth="1"/>
    <col min="77" max="77" width="8.5703125" style="3" bestFit="1" customWidth="1"/>
    <col min="78" max="78" width="8.7109375" style="3" bestFit="1" customWidth="1"/>
    <col min="79" max="79" width="5.28515625" style="3" hidden="1" customWidth="1"/>
    <col min="80" max="80" width="7.5703125" style="3" bestFit="1" customWidth="1"/>
    <col min="81" max="83" width="9.28515625" style="3" bestFit="1" customWidth="1"/>
    <col min="84" max="84" width="11.140625" style="3" bestFit="1" customWidth="1"/>
    <col min="85" max="85" width="3.5703125" style="3" customWidth="1"/>
    <col min="86" max="86" width="11.5703125" style="4" hidden="1" customWidth="1"/>
    <col min="87" max="89" width="10.5703125" style="4" hidden="1" customWidth="1"/>
    <col min="90" max="90" width="8.7109375" style="4" hidden="1" customWidth="1"/>
    <col min="91" max="91" width="6.28515625" style="35" hidden="1" customWidth="1"/>
    <col min="92" max="92" width="9.7109375" style="4" hidden="1" customWidth="1"/>
    <col min="93" max="93" width="2.85546875" style="3" hidden="1" customWidth="1"/>
    <col min="94" max="94" width="4.5703125" style="3" customWidth="1"/>
    <col min="95" max="95" width="2" style="3" customWidth="1"/>
    <col min="96" max="96" width="12.5703125" style="3" bestFit="1" customWidth="1"/>
    <col min="97" max="97" width="9.28515625" style="3" bestFit="1" customWidth="1"/>
    <col min="98" max="98" width="6.42578125" style="3" bestFit="1" customWidth="1"/>
    <col min="99" max="99" width="7.85546875" style="3" bestFit="1" customWidth="1"/>
    <col min="100" max="100" width="10.85546875" style="3" bestFit="1" customWidth="1"/>
    <col min="101" max="101" width="2.140625" style="3" customWidth="1"/>
    <col min="102" max="102" width="9.42578125" style="3" customWidth="1"/>
    <col min="103" max="103" width="7.28515625" style="3" bestFit="1" customWidth="1"/>
    <col min="104" max="104" width="1.28515625" style="3" customWidth="1"/>
    <col min="105" max="105" width="2.28515625" style="42" customWidth="1"/>
    <col min="106" max="106" width="7.5703125" style="42" customWidth="1"/>
    <col min="107" max="107" width="2.28515625" style="42" customWidth="1"/>
    <col min="108" max="109" width="10.5703125" style="5" customWidth="1"/>
    <col min="110" max="110" width="15.42578125" style="177" customWidth="1"/>
    <col min="111" max="111" width="12.140625" style="158" customWidth="1"/>
    <col min="112" max="112" width="15.7109375" style="158" bestFit="1" customWidth="1"/>
    <col min="113" max="113" width="12.140625" style="158" customWidth="1"/>
    <col min="114" max="114" width="10.5703125" style="42" customWidth="1"/>
    <col min="115" max="115" width="11.5703125" style="5" customWidth="1"/>
    <col min="116" max="116" width="6.28515625" style="42" bestFit="1" customWidth="1"/>
    <col min="117" max="117" width="2.42578125" style="42" customWidth="1"/>
    <col min="118" max="118" width="8.5703125" style="42" customWidth="1"/>
    <col min="119" max="119" width="2.28515625" style="42" customWidth="1"/>
    <col min="120" max="120" width="8.140625" style="42" customWidth="1"/>
    <col min="121" max="121" width="5.7109375" style="42" bestFit="1" customWidth="1"/>
    <col min="122" max="122" width="5.42578125" style="42" bestFit="1" customWidth="1"/>
    <col min="123" max="123" width="1.5703125" style="42" customWidth="1"/>
    <col min="124" max="124" width="9.5703125" style="52" hidden="1" customWidth="1"/>
    <col min="125" max="125" width="2.140625" style="42" hidden="1" customWidth="1"/>
    <col min="126" max="126" width="9.42578125" style="4" hidden="1" customWidth="1"/>
    <col min="127" max="127" width="1.5703125" style="3" hidden="1" customWidth="1"/>
    <col min="128" max="128" width="10.7109375" style="3" customWidth="1"/>
    <col min="129" max="129" width="12.140625" style="3" hidden="1" customWidth="1"/>
    <col min="130" max="130" width="6" style="3" hidden="1" customWidth="1"/>
    <col min="131" max="131" width="8.5703125" style="3" hidden="1" customWidth="1"/>
    <col min="132" max="132" width="2.85546875" style="3" hidden="1" customWidth="1"/>
    <col min="133" max="133" width="6.5703125" style="3" hidden="1" customWidth="1"/>
    <col min="134" max="134" width="2.28515625" style="3" hidden="1" customWidth="1"/>
    <col min="135" max="135" width="12.28515625" style="3" hidden="1" customWidth="1"/>
    <col min="136" max="136" width="10.28515625" style="4" hidden="1" customWidth="1"/>
    <col min="137" max="137" width="2.7109375" style="4" hidden="1" customWidth="1"/>
    <col min="138" max="138" width="0" style="4" hidden="1" customWidth="1"/>
    <col min="139" max="139" width="7" style="4" hidden="1" customWidth="1"/>
    <col min="140" max="140" width="3.28515625" style="4" hidden="1" customWidth="1"/>
    <col min="141" max="141" width="13.7109375" style="4" hidden="1" customWidth="1"/>
    <col min="142" max="144" width="0" style="3" hidden="1" customWidth="1"/>
    <col min="145" max="145" width="12.42578125" style="3" bestFit="1" customWidth="1"/>
    <col min="146" max="147" width="12.140625" style="3" bestFit="1" customWidth="1"/>
    <col min="148" max="148" width="9.140625" style="3"/>
    <col min="149" max="149" width="2.5703125" style="3" customWidth="1"/>
    <col min="150" max="150" width="11.5703125" style="4" hidden="1" customWidth="1"/>
    <col min="151" max="151" width="12.28515625" style="4" hidden="1" customWidth="1"/>
    <col min="152" max="152" width="0" style="3" hidden="1" customWidth="1"/>
    <col min="153" max="153" width="10.7109375" style="4" bestFit="1" customWidth="1"/>
    <col min="154" max="154" width="7.5703125" style="42" customWidth="1"/>
    <col min="155" max="16384" width="9.140625" style="3"/>
  </cols>
  <sheetData>
    <row r="1" spans="1:155" ht="16.5" thickBot="1" x14ac:dyDescent="0.3">
      <c r="I1" s="51"/>
      <c r="J1" s="3"/>
      <c r="L1" s="50"/>
      <c r="BL1" s="4"/>
      <c r="BM1" s="4"/>
      <c r="BN1" s="4"/>
      <c r="BO1" s="4"/>
      <c r="BP1" s="4"/>
      <c r="BQ1" s="247"/>
      <c r="BR1" s="4"/>
      <c r="BS1" s="4"/>
    </row>
    <row r="2" spans="1:155" ht="16.5" thickBot="1" x14ac:dyDescent="0.3">
      <c r="I2" s="51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248"/>
      <c r="AA2" s="245"/>
      <c r="AB2" s="245"/>
      <c r="AC2" s="245"/>
      <c r="AD2" s="245"/>
      <c r="AE2" s="245"/>
      <c r="AF2" s="245"/>
      <c r="AG2" s="245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BF2" s="61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3"/>
      <c r="DF2" s="189"/>
      <c r="DG2" s="190"/>
      <c r="DH2" s="190"/>
    </row>
    <row r="3" spans="1:155" ht="16.5" thickBot="1" x14ac:dyDescent="0.3">
      <c r="A3" s="160" t="s">
        <v>180</v>
      </c>
      <c r="B3" s="179"/>
      <c r="C3" s="263">
        <v>2751126</v>
      </c>
      <c r="D3" s="179"/>
      <c r="E3" s="180"/>
      <c r="Q3" s="247"/>
      <c r="X3" s="245"/>
      <c r="Y3" s="245"/>
      <c r="Z3" s="248"/>
      <c r="AA3" s="248"/>
      <c r="AB3" s="245"/>
      <c r="AC3" s="245"/>
      <c r="AD3" s="245"/>
      <c r="AE3" s="245"/>
      <c r="AF3" s="246"/>
      <c r="AG3" s="246"/>
      <c r="AH3" s="209"/>
      <c r="AI3" s="209"/>
      <c r="AJ3" s="248"/>
      <c r="AK3" s="209"/>
      <c r="AL3" s="209"/>
      <c r="AM3" s="209"/>
      <c r="AN3" s="209"/>
      <c r="AO3" s="209"/>
      <c r="AP3" s="248"/>
      <c r="AQ3" s="248"/>
      <c r="AR3" s="209"/>
      <c r="BF3" s="64"/>
      <c r="BG3" s="65"/>
      <c r="BH3" s="65"/>
      <c r="BI3" s="65"/>
      <c r="BJ3" s="65"/>
      <c r="BK3" s="65"/>
      <c r="BL3" s="65" t="s">
        <v>102</v>
      </c>
      <c r="BM3" s="66" t="s">
        <v>103</v>
      </c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7"/>
      <c r="CR3" s="90" t="s">
        <v>179</v>
      </c>
      <c r="CS3" s="91"/>
      <c r="CT3" s="91"/>
      <c r="CU3" s="91"/>
      <c r="CV3" s="91"/>
      <c r="CW3" s="91"/>
      <c r="CX3" s="91"/>
      <c r="CY3" s="91"/>
      <c r="CZ3" s="91"/>
      <c r="DA3" s="92"/>
      <c r="DB3" s="92"/>
      <c r="DC3" s="171"/>
      <c r="DF3" s="189"/>
      <c r="DG3" s="190"/>
      <c r="DH3" s="190"/>
      <c r="DT3" s="97"/>
      <c r="DU3" s="95"/>
      <c r="DV3" s="98"/>
      <c r="DW3" s="133"/>
      <c r="DX3" s="32"/>
    </row>
    <row r="4" spans="1:155" x14ac:dyDescent="0.25">
      <c r="A4" s="161"/>
      <c r="E4" s="181"/>
      <c r="L4" s="238" t="s">
        <v>177</v>
      </c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/>
      <c r="Y4" s="55"/>
      <c r="Z4" s="55"/>
      <c r="AA4" s="55"/>
      <c r="AB4" s="55"/>
      <c r="AC4" s="55"/>
      <c r="AD4" s="55"/>
      <c r="AE4" s="55"/>
      <c r="AF4" s="225"/>
      <c r="AG4" s="22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186"/>
      <c r="AT4" s="19" t="s">
        <v>100</v>
      </c>
      <c r="AU4" s="11" t="s">
        <v>52</v>
      </c>
      <c r="BF4" s="64"/>
      <c r="BG4" s="65"/>
      <c r="BH4" s="65"/>
      <c r="BI4" s="65"/>
      <c r="BJ4" s="65"/>
      <c r="BK4" s="65"/>
      <c r="BL4" s="68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7"/>
      <c r="CR4" s="93"/>
      <c r="CS4" s="94"/>
      <c r="CT4" s="94"/>
      <c r="CU4" s="94"/>
      <c r="CV4" s="94"/>
      <c r="CW4" s="94"/>
      <c r="CX4" s="94"/>
      <c r="CY4" s="94"/>
      <c r="CZ4" s="94"/>
      <c r="DA4" s="95"/>
      <c r="DB4" s="95"/>
      <c r="DC4" s="172"/>
      <c r="DF4" s="189"/>
      <c r="DG4" s="190"/>
      <c r="DH4" s="190"/>
      <c r="DT4" s="97" t="s">
        <v>101</v>
      </c>
      <c r="DU4" s="95"/>
      <c r="DV4" s="98"/>
      <c r="DW4" s="133"/>
      <c r="DX4" s="32"/>
      <c r="ET4" s="8"/>
    </row>
    <row r="5" spans="1:155" x14ac:dyDescent="0.25">
      <c r="A5" s="161" t="s">
        <v>118</v>
      </c>
      <c r="C5" s="3">
        <v>-1969</v>
      </c>
      <c r="E5" s="181"/>
      <c r="L5" s="239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7"/>
      <c r="Y5" s="57"/>
      <c r="Z5" s="57"/>
      <c r="AA5" s="57"/>
      <c r="AB5" s="57"/>
      <c r="AC5" s="57"/>
      <c r="AD5" s="57"/>
      <c r="AE5" s="57"/>
      <c r="AF5" s="225"/>
      <c r="AG5" s="225"/>
      <c r="AH5" s="57"/>
      <c r="AI5" s="232"/>
      <c r="AJ5" s="225"/>
      <c r="AK5" s="232"/>
      <c r="AL5" s="232"/>
      <c r="AM5" s="232"/>
      <c r="AN5" s="232"/>
      <c r="AO5" s="234"/>
      <c r="AP5" s="234"/>
      <c r="AQ5" s="234"/>
      <c r="AR5" s="187"/>
      <c r="AT5" s="20"/>
      <c r="AU5" s="13"/>
      <c r="BF5" s="64"/>
      <c r="BG5" s="65"/>
      <c r="BH5" s="65"/>
      <c r="BI5" s="65"/>
      <c r="BJ5" s="65"/>
      <c r="BK5" s="65"/>
      <c r="BL5" s="68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7"/>
      <c r="CR5" s="93"/>
      <c r="CS5" s="94"/>
      <c r="CT5" s="94"/>
      <c r="CU5" s="94"/>
      <c r="CV5" s="94"/>
      <c r="CW5" s="94"/>
      <c r="CX5" s="94"/>
      <c r="CY5" s="94"/>
      <c r="CZ5" s="94"/>
      <c r="DA5" s="95"/>
      <c r="DB5" s="95"/>
      <c r="DC5" s="172"/>
      <c r="DF5" s="189"/>
      <c r="DG5" s="190"/>
      <c r="DH5" s="190"/>
      <c r="DT5" s="97"/>
      <c r="DU5" s="95"/>
      <c r="DV5" s="98"/>
      <c r="DW5" s="133"/>
      <c r="DX5" s="32"/>
      <c r="ET5" s="8"/>
    </row>
    <row r="6" spans="1:155" x14ac:dyDescent="0.25">
      <c r="A6" s="161" t="s">
        <v>183</v>
      </c>
      <c r="E6" s="181"/>
      <c r="J6" s="155"/>
      <c r="L6" s="240" t="s">
        <v>151</v>
      </c>
      <c r="M6" s="225" t="s">
        <v>151</v>
      </c>
      <c r="N6" s="232"/>
      <c r="O6" s="225" t="s">
        <v>151</v>
      </c>
      <c r="P6" s="225" t="s">
        <v>151</v>
      </c>
      <c r="Q6" s="225" t="s">
        <v>175</v>
      </c>
      <c r="R6" s="225" t="s">
        <v>151</v>
      </c>
      <c r="S6" s="225" t="s">
        <v>151</v>
      </c>
      <c r="T6" s="225" t="s">
        <v>151</v>
      </c>
      <c r="U6" s="225" t="s">
        <v>175</v>
      </c>
      <c r="V6" s="225"/>
      <c r="W6" s="225"/>
      <c r="X6" s="225" t="s">
        <v>175</v>
      </c>
      <c r="Y6" s="225" t="s">
        <v>175</v>
      </c>
      <c r="Z6" s="225" t="s">
        <v>151</v>
      </c>
      <c r="AA6" s="225" t="s">
        <v>175</v>
      </c>
      <c r="AB6" s="225" t="s">
        <v>175</v>
      </c>
      <c r="AC6" s="225" t="s">
        <v>151</v>
      </c>
      <c r="AD6" s="225" t="s">
        <v>151</v>
      </c>
      <c r="AE6" s="225" t="s">
        <v>151</v>
      </c>
      <c r="AF6" s="225"/>
      <c r="AG6" s="225" t="s">
        <v>175</v>
      </c>
      <c r="AH6" s="225" t="s">
        <v>151</v>
      </c>
      <c r="AI6" s="225" t="s">
        <v>151</v>
      </c>
      <c r="AJ6" s="225" t="s">
        <v>175</v>
      </c>
      <c r="AK6" s="225" t="s">
        <v>151</v>
      </c>
      <c r="AL6" s="225" t="s">
        <v>151</v>
      </c>
      <c r="AM6" s="225" t="s">
        <v>151</v>
      </c>
      <c r="AN6" s="225" t="s">
        <v>151</v>
      </c>
      <c r="AO6" s="225" t="s">
        <v>151</v>
      </c>
      <c r="AP6" s="249" t="s">
        <v>175</v>
      </c>
      <c r="AQ6" s="258" t="s">
        <v>175</v>
      </c>
      <c r="AR6" s="250"/>
      <c r="AT6" s="20"/>
      <c r="AU6" s="13"/>
      <c r="BF6" s="64"/>
      <c r="BG6" s="65"/>
      <c r="BH6" s="65"/>
      <c r="BI6" s="65"/>
      <c r="BJ6" s="65"/>
      <c r="BK6" s="65"/>
      <c r="BL6" s="236" t="s">
        <v>152</v>
      </c>
      <c r="BM6" s="236" t="s">
        <v>152</v>
      </c>
      <c r="BN6" s="236" t="s">
        <v>152</v>
      </c>
      <c r="BO6" s="235"/>
      <c r="BP6" s="236" t="s">
        <v>152</v>
      </c>
      <c r="BQ6" s="236" t="s">
        <v>152</v>
      </c>
      <c r="BR6" s="236" t="s">
        <v>152</v>
      </c>
      <c r="BS6" s="236" t="s">
        <v>152</v>
      </c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7"/>
      <c r="CR6" s="93"/>
      <c r="CS6" s="94"/>
      <c r="CT6" s="94"/>
      <c r="CU6" s="94"/>
      <c r="CV6" s="94"/>
      <c r="CW6" s="94"/>
      <c r="CX6" s="94"/>
      <c r="CY6" s="94"/>
      <c r="CZ6" s="94"/>
      <c r="DA6" s="95"/>
      <c r="DB6" s="95"/>
      <c r="DC6" s="172"/>
      <c r="DF6" s="189"/>
      <c r="DG6" s="190"/>
      <c r="DH6" s="190"/>
      <c r="DK6" s="145"/>
      <c r="DL6" s="145"/>
      <c r="DM6" s="145"/>
      <c r="DN6" s="145"/>
      <c r="DO6" s="145"/>
      <c r="DQ6" s="145"/>
      <c r="DR6" s="145"/>
      <c r="DT6" s="97"/>
      <c r="DU6" s="95"/>
      <c r="DV6" s="98"/>
      <c r="DW6" s="133"/>
      <c r="DX6" s="32"/>
      <c r="EO6" s="151"/>
      <c r="EP6" s="136"/>
      <c r="EQ6" s="152"/>
      <c r="ER6" s="34"/>
      <c r="ET6" s="8"/>
      <c r="EU6" s="8"/>
      <c r="EV6" s="8"/>
      <c r="EW6" s="141"/>
    </row>
    <row r="7" spans="1:155" x14ac:dyDescent="0.25">
      <c r="A7" s="161" t="s">
        <v>114</v>
      </c>
      <c r="B7" s="4"/>
      <c r="C7" s="264">
        <f>SUM(C3:C6)</f>
        <v>2749157</v>
      </c>
      <c r="D7" s="4" t="s">
        <v>97</v>
      </c>
      <c r="E7" s="162"/>
      <c r="F7" s="178"/>
      <c r="L7" s="241" t="s">
        <v>47</v>
      </c>
      <c r="M7" s="56" t="s">
        <v>78</v>
      </c>
      <c r="N7" s="56" t="s">
        <v>79</v>
      </c>
      <c r="O7" s="56" t="s">
        <v>80</v>
      </c>
      <c r="P7" s="56" t="s">
        <v>81</v>
      </c>
      <c r="Q7" s="56" t="s">
        <v>82</v>
      </c>
      <c r="R7" s="56" t="s">
        <v>108</v>
      </c>
      <c r="S7" s="56" t="s">
        <v>83</v>
      </c>
      <c r="T7" s="56" t="s">
        <v>84</v>
      </c>
      <c r="U7" s="56" t="s">
        <v>85</v>
      </c>
      <c r="V7" s="56" t="s">
        <v>104</v>
      </c>
      <c r="W7" s="56" t="s">
        <v>106</v>
      </c>
      <c r="X7" s="56" t="s">
        <v>99</v>
      </c>
      <c r="Y7" s="56" t="s">
        <v>99</v>
      </c>
      <c r="Z7" s="56" t="s">
        <v>134</v>
      </c>
      <c r="AA7" s="60" t="s">
        <v>120</v>
      </c>
      <c r="AB7" s="60" t="s">
        <v>120</v>
      </c>
      <c r="AC7" s="224" t="s">
        <v>160</v>
      </c>
      <c r="AD7" s="56" t="s">
        <v>124</v>
      </c>
      <c r="AE7" s="56" t="s">
        <v>122</v>
      </c>
      <c r="AF7" s="56"/>
      <c r="AG7" s="56" t="s">
        <v>142</v>
      </c>
      <c r="AH7" s="56" t="s">
        <v>145</v>
      </c>
      <c r="AI7" s="56" t="s">
        <v>149</v>
      </c>
      <c r="AJ7" s="56" t="s">
        <v>159</v>
      </c>
      <c r="AK7" s="56" t="s">
        <v>154</v>
      </c>
      <c r="AL7" s="56" t="s">
        <v>170</v>
      </c>
      <c r="AM7" s="56" t="s">
        <v>172</v>
      </c>
      <c r="AN7" s="56" t="s">
        <v>163</v>
      </c>
      <c r="AO7" s="56" t="s">
        <v>165</v>
      </c>
      <c r="AP7" s="252" t="s">
        <v>184</v>
      </c>
      <c r="AQ7" s="259" t="s">
        <v>187</v>
      </c>
      <c r="AR7" s="253" t="s">
        <v>0</v>
      </c>
      <c r="AT7" s="20" t="s">
        <v>53</v>
      </c>
      <c r="AU7" s="13" t="s">
        <v>49</v>
      </c>
      <c r="BF7" s="64"/>
      <c r="BG7" s="65"/>
      <c r="BH7" s="65"/>
      <c r="BI7" s="65"/>
      <c r="BJ7" s="65"/>
      <c r="BK7" s="65"/>
      <c r="BL7" s="65" t="s">
        <v>157</v>
      </c>
      <c r="BM7" s="65"/>
      <c r="BN7" s="226"/>
      <c r="BO7" s="65"/>
      <c r="BP7" s="226"/>
      <c r="BQ7" s="226"/>
      <c r="BR7" s="65"/>
      <c r="BS7" s="226"/>
      <c r="BT7" s="65"/>
      <c r="BU7" s="65"/>
      <c r="BV7" s="65"/>
      <c r="BW7" s="65"/>
      <c r="BX7" s="69" t="s">
        <v>188</v>
      </c>
      <c r="BY7" s="70"/>
      <c r="BZ7" s="70"/>
      <c r="CA7" s="70"/>
      <c r="CB7" s="70"/>
      <c r="CC7" s="70"/>
      <c r="CD7" s="70"/>
      <c r="CE7" s="197"/>
      <c r="CF7" s="71"/>
      <c r="CH7" s="36" t="s">
        <v>52</v>
      </c>
      <c r="CI7" s="10" t="s">
        <v>93</v>
      </c>
      <c r="CJ7" s="10" t="s">
        <v>93</v>
      </c>
      <c r="CK7" s="10" t="s">
        <v>93</v>
      </c>
      <c r="CL7" s="10" t="s">
        <v>0</v>
      </c>
      <c r="CM7" s="37" t="s">
        <v>53</v>
      </c>
      <c r="CN7" s="38" t="s">
        <v>94</v>
      </c>
      <c r="CR7" s="93"/>
      <c r="CS7" s="99" t="s">
        <v>86</v>
      </c>
      <c r="CT7" s="99"/>
      <c r="CU7" s="99"/>
      <c r="CV7" s="99"/>
      <c r="CW7" s="99"/>
      <c r="CX7" s="117" t="s">
        <v>0</v>
      </c>
      <c r="CY7" s="118"/>
      <c r="CZ7" s="94"/>
      <c r="DA7" s="95"/>
      <c r="DB7" s="95"/>
      <c r="DC7" s="172"/>
      <c r="DD7" s="146"/>
      <c r="DE7" s="146"/>
      <c r="DF7" s="189"/>
      <c r="DG7" s="190"/>
      <c r="DH7" s="190"/>
      <c r="DK7" s="143"/>
      <c r="DL7" s="144"/>
      <c r="DM7" s="144"/>
      <c r="DN7" s="144"/>
      <c r="DO7" s="5"/>
      <c r="DP7" s="146"/>
      <c r="DQ7" s="147"/>
      <c r="DR7" s="147"/>
      <c r="DT7" s="97"/>
      <c r="DU7" s="95"/>
      <c r="DV7" s="101"/>
      <c r="DW7" s="133"/>
      <c r="DX7" s="32"/>
      <c r="EP7" s="136"/>
      <c r="EQ7" s="153"/>
      <c r="ER7" s="34"/>
      <c r="ET7" s="8"/>
      <c r="EU7" s="8"/>
    </row>
    <row r="8" spans="1:155" x14ac:dyDescent="0.25">
      <c r="A8" s="161"/>
      <c r="B8" s="4"/>
      <c r="C8" s="5"/>
      <c r="D8" s="4"/>
      <c r="E8" s="162"/>
      <c r="F8" s="4"/>
      <c r="L8" s="241">
        <v>2004</v>
      </c>
      <c r="M8" s="56">
        <v>1999</v>
      </c>
      <c r="N8" s="56">
        <v>1999</v>
      </c>
      <c r="O8" s="56">
        <v>2004</v>
      </c>
      <c r="P8" s="56">
        <v>2004</v>
      </c>
      <c r="Q8" s="56">
        <v>2005</v>
      </c>
      <c r="R8" s="56" t="s">
        <v>109</v>
      </c>
      <c r="S8" s="56">
        <v>2007</v>
      </c>
      <c r="T8" s="56">
        <v>2007</v>
      </c>
      <c r="U8" s="56">
        <v>2007</v>
      </c>
      <c r="V8" s="58" t="s">
        <v>105</v>
      </c>
      <c r="W8" s="58" t="s">
        <v>98</v>
      </c>
      <c r="X8" s="56" t="s">
        <v>113</v>
      </c>
      <c r="Y8" s="56" t="s">
        <v>139</v>
      </c>
      <c r="Z8" s="56" t="s">
        <v>135</v>
      </c>
      <c r="AA8" s="60" t="s">
        <v>153</v>
      </c>
      <c r="AB8" s="60" t="s">
        <v>153</v>
      </c>
      <c r="AC8" s="224" t="s">
        <v>162</v>
      </c>
      <c r="AD8" s="56" t="s">
        <v>125</v>
      </c>
      <c r="AE8" s="56" t="s">
        <v>123</v>
      </c>
      <c r="AF8" s="56"/>
      <c r="AG8" s="56" t="s">
        <v>143</v>
      </c>
      <c r="AH8" s="56" t="s">
        <v>146</v>
      </c>
      <c r="AI8" s="56" t="s">
        <v>150</v>
      </c>
      <c r="AJ8" s="56" t="s">
        <v>176</v>
      </c>
      <c r="AK8" s="56" t="s">
        <v>155</v>
      </c>
      <c r="AL8" s="56" t="s">
        <v>171</v>
      </c>
      <c r="AM8" s="56" t="s">
        <v>173</v>
      </c>
      <c r="AN8" s="56" t="s">
        <v>164</v>
      </c>
      <c r="AO8" s="56" t="s">
        <v>166</v>
      </c>
      <c r="AP8" s="252" t="s">
        <v>185</v>
      </c>
      <c r="AQ8" s="259" t="s">
        <v>186</v>
      </c>
      <c r="AR8" s="253"/>
      <c r="AT8" s="20"/>
      <c r="AU8" s="14">
        <f>C15</f>
        <v>0</v>
      </c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72"/>
      <c r="BG8" s="46"/>
      <c r="BH8" s="46"/>
      <c r="BI8" s="46"/>
      <c r="BJ8" s="46"/>
      <c r="BK8" s="65"/>
      <c r="BL8" s="126" t="s">
        <v>65</v>
      </c>
      <c r="BM8" s="126" t="s">
        <v>66</v>
      </c>
      <c r="BN8" s="126" t="s">
        <v>67</v>
      </c>
      <c r="BO8" s="126" t="s">
        <v>68</v>
      </c>
      <c r="BP8" s="126" t="s">
        <v>69</v>
      </c>
      <c r="BQ8" s="137" t="s">
        <v>70</v>
      </c>
      <c r="BR8" s="137" t="s">
        <v>126</v>
      </c>
      <c r="BS8" s="65" t="s">
        <v>128</v>
      </c>
      <c r="BT8" s="65"/>
      <c r="BU8" s="65"/>
      <c r="BV8" s="65"/>
      <c r="BW8" s="65"/>
      <c r="BX8" s="73" t="s">
        <v>65</v>
      </c>
      <c r="BY8" s="74" t="s">
        <v>66</v>
      </c>
      <c r="BZ8" s="75" t="s">
        <v>67</v>
      </c>
      <c r="CA8" s="75" t="s">
        <v>68</v>
      </c>
      <c r="CB8" s="75" t="s">
        <v>69</v>
      </c>
      <c r="CC8" s="75" t="s">
        <v>76</v>
      </c>
      <c r="CD8" s="76" t="s">
        <v>126</v>
      </c>
      <c r="CE8" s="198" t="s">
        <v>128</v>
      </c>
      <c r="CF8" s="77" t="s">
        <v>75</v>
      </c>
      <c r="CH8" s="12"/>
      <c r="CI8" s="4" t="s">
        <v>48</v>
      </c>
      <c r="CJ8" s="4" t="s">
        <v>95</v>
      </c>
      <c r="CK8" s="4" t="s">
        <v>96</v>
      </c>
      <c r="CN8" s="39" t="s">
        <v>92</v>
      </c>
      <c r="CR8" s="93"/>
      <c r="CS8" s="102" t="s">
        <v>87</v>
      </c>
      <c r="CT8" s="102" t="s">
        <v>88</v>
      </c>
      <c r="CU8" s="102" t="s">
        <v>90</v>
      </c>
      <c r="CV8" s="102" t="s">
        <v>156</v>
      </c>
      <c r="CW8" s="102"/>
      <c r="CX8" s="119" t="s">
        <v>141</v>
      </c>
      <c r="CY8" s="120"/>
      <c r="CZ8" s="102"/>
      <c r="DA8" s="103"/>
      <c r="DB8" s="103" t="s">
        <v>148</v>
      </c>
      <c r="DC8" s="173"/>
      <c r="DD8" s="144"/>
      <c r="DE8" s="144"/>
      <c r="DF8" s="191"/>
      <c r="DG8" s="192"/>
      <c r="DH8" s="193"/>
      <c r="DI8" s="164"/>
      <c r="DJ8" s="144"/>
      <c r="DL8" s="149"/>
      <c r="DM8" s="149"/>
      <c r="DN8" s="48"/>
      <c r="DO8" s="149"/>
      <c r="DP8" s="150"/>
      <c r="DQ8" s="150"/>
      <c r="DR8" s="150"/>
      <c r="DS8" s="145"/>
      <c r="DT8" s="104"/>
      <c r="DU8" s="100"/>
      <c r="DV8" s="105"/>
      <c r="DW8" s="105"/>
      <c r="DX8" s="47"/>
      <c r="DY8" s="8"/>
      <c r="DZ8" s="4"/>
      <c r="EA8" s="4"/>
      <c r="EB8" s="8"/>
      <c r="EC8" s="43"/>
      <c r="ED8" s="8"/>
      <c r="EF8" s="44"/>
      <c r="EP8" s="136"/>
      <c r="EQ8" s="34"/>
      <c r="ER8" s="34"/>
      <c r="ET8" s="8"/>
      <c r="EU8" s="8"/>
    </row>
    <row r="9" spans="1:155" x14ac:dyDescent="0.25">
      <c r="A9" s="161" t="s">
        <v>11</v>
      </c>
      <c r="B9" s="4"/>
      <c r="C9" s="265">
        <f>SUM(-AR37)</f>
        <v>-124528.94512222428</v>
      </c>
      <c r="D9" s="4" t="s">
        <v>115</v>
      </c>
      <c r="E9" s="162"/>
      <c r="F9" s="4"/>
      <c r="L9" s="241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 t="s">
        <v>138</v>
      </c>
      <c r="Y9" s="57"/>
      <c r="Z9" s="56" t="s">
        <v>121</v>
      </c>
      <c r="AA9" s="60"/>
      <c r="AB9" s="60"/>
      <c r="AC9" s="224" t="s">
        <v>161</v>
      </c>
      <c r="AD9" s="220">
        <v>2010</v>
      </c>
      <c r="AE9" s="57"/>
      <c r="AF9" s="56"/>
      <c r="AG9" s="220" t="s">
        <v>144</v>
      </c>
      <c r="AH9" s="220" t="s">
        <v>147</v>
      </c>
      <c r="AI9" s="56"/>
      <c r="AJ9" s="56"/>
      <c r="AK9" s="220">
        <v>2012</v>
      </c>
      <c r="AL9" s="220">
        <v>2013</v>
      </c>
      <c r="AM9" s="220">
        <v>2013</v>
      </c>
      <c r="AN9" s="220">
        <v>2013</v>
      </c>
      <c r="AO9" s="220">
        <v>2014</v>
      </c>
      <c r="AP9" s="251">
        <v>2017</v>
      </c>
      <c r="AQ9" s="260">
        <v>2017</v>
      </c>
      <c r="AR9" s="254"/>
      <c r="AT9" s="20"/>
      <c r="AU9" s="13"/>
      <c r="BF9" s="64"/>
      <c r="BG9" s="65"/>
      <c r="BH9" s="65"/>
      <c r="BI9" s="65"/>
      <c r="BJ9" s="65"/>
      <c r="BK9" s="65"/>
      <c r="BL9" s="126"/>
      <c r="BM9" s="126" t="s">
        <v>71</v>
      </c>
      <c r="BN9" s="126" t="s">
        <v>72</v>
      </c>
      <c r="BO9" s="126" t="s">
        <v>73</v>
      </c>
      <c r="BP9" s="126" t="s">
        <v>74</v>
      </c>
      <c r="BQ9" s="126" t="s">
        <v>57</v>
      </c>
      <c r="BR9" s="126" t="s">
        <v>127</v>
      </c>
      <c r="BS9" s="65" t="s">
        <v>129</v>
      </c>
      <c r="BT9" s="65"/>
      <c r="BU9" s="65"/>
      <c r="BV9" s="65"/>
      <c r="BW9" s="65"/>
      <c r="BX9" s="78"/>
      <c r="BY9" s="79" t="s">
        <v>71</v>
      </c>
      <c r="BZ9" s="80" t="s">
        <v>72</v>
      </c>
      <c r="CA9" s="80" t="s">
        <v>73</v>
      </c>
      <c r="CB9" s="80" t="s">
        <v>74</v>
      </c>
      <c r="CC9" s="80" t="s">
        <v>77</v>
      </c>
      <c r="CD9" s="80" t="s">
        <v>127</v>
      </c>
      <c r="CE9" s="199" t="s">
        <v>129</v>
      </c>
      <c r="CF9" s="81" t="s">
        <v>130</v>
      </c>
      <c r="CH9" s="12"/>
      <c r="CN9" s="40">
        <f>2/3</f>
        <v>0.66666666666666663</v>
      </c>
      <c r="CR9" s="93"/>
      <c r="CS9" s="102" t="s">
        <v>48</v>
      </c>
      <c r="CT9" s="102" t="s">
        <v>89</v>
      </c>
      <c r="CU9" s="102" t="s">
        <v>91</v>
      </c>
      <c r="CV9" s="102" t="s">
        <v>107</v>
      </c>
      <c r="CW9" s="102"/>
      <c r="CX9" s="121">
        <v>2016</v>
      </c>
      <c r="CY9" s="122"/>
      <c r="CZ9" s="106"/>
      <c r="DA9" s="103"/>
      <c r="DB9" s="223">
        <v>0.04</v>
      </c>
      <c r="DC9" s="174"/>
      <c r="DD9" s="144"/>
      <c r="DE9" s="144"/>
      <c r="DF9" s="191"/>
      <c r="DG9" s="192"/>
      <c r="DH9" s="192"/>
      <c r="DI9" s="164"/>
      <c r="DJ9" s="144"/>
      <c r="DL9" s="156"/>
      <c r="DM9" s="149"/>
      <c r="DN9" s="48"/>
      <c r="DO9" s="149"/>
      <c r="DP9" s="150"/>
      <c r="DQ9" s="157"/>
      <c r="DR9" s="157"/>
      <c r="DS9" s="148"/>
      <c r="DT9" s="108"/>
      <c r="DU9" s="107"/>
      <c r="DV9" s="109"/>
      <c r="DW9" s="134"/>
      <c r="DY9" s="8"/>
      <c r="DZ9" s="4"/>
      <c r="EA9" s="4"/>
      <c r="EB9" s="4"/>
      <c r="EC9" s="4"/>
      <c r="ED9" s="4"/>
      <c r="EP9" s="154"/>
    </row>
    <row r="10" spans="1:155" x14ac:dyDescent="0.25">
      <c r="A10" s="161" t="s">
        <v>110</v>
      </c>
      <c r="B10" s="4"/>
      <c r="C10" s="5">
        <f>-6*3000</f>
        <v>-18000</v>
      </c>
      <c r="D10" s="4" t="s">
        <v>50</v>
      </c>
      <c r="E10" s="162" t="s">
        <v>116</v>
      </c>
      <c r="F10" s="8"/>
      <c r="H10" s="3" t="s">
        <v>12</v>
      </c>
      <c r="I10" s="3" t="s">
        <v>8</v>
      </c>
      <c r="J10" s="42"/>
      <c r="K10" s="6"/>
      <c r="L10" s="242"/>
      <c r="M10" s="60"/>
      <c r="N10" s="60">
        <v>0</v>
      </c>
      <c r="O10" s="60">
        <f>105.024303130357*1.0362*1.006*1.0089*1.0057*1.0276*1.0091*1.0182*1.0155</f>
        <v>119.1020595713738</v>
      </c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>
        <v>-4434.8775822196903</v>
      </c>
      <c r="AB10" s="60"/>
      <c r="AC10" s="60">
        <f>2280*1.0057*1.0276*1.0091*1.0182*1.0155</f>
        <v>2458.524946110892</v>
      </c>
      <c r="AD10" s="60"/>
      <c r="AE10" s="60">
        <f>1616*1.006*1.0089*1.0057*1.0276*1.0091*1.0182*1.0155</f>
        <v>1768.590270575766</v>
      </c>
      <c r="AF10" s="60"/>
      <c r="AG10" s="60"/>
      <c r="AH10" s="60"/>
      <c r="AI10" s="60">
        <f>1200*1.0057*1.0276*1.0091*1.0182*1.0155</f>
        <v>1293.9604979531009</v>
      </c>
      <c r="AJ10" s="56"/>
      <c r="AK10" s="60">
        <f>840*1.0276*1.0091*1.0182*1.0155</f>
        <v>900.63870793195838</v>
      </c>
      <c r="AL10" s="60">
        <f>872*1.0276*1.0091*1.0182*1.0155</f>
        <v>934.94875394841404</v>
      </c>
      <c r="AM10" s="60">
        <f>1999*1.0276*1.0091*1.0182*1.0155</f>
        <v>2143.3056870904579</v>
      </c>
      <c r="AN10" s="60"/>
      <c r="AO10" s="60">
        <f>1700*1.0091*1.0182*1.0155</f>
        <v>1773.7652730870004</v>
      </c>
      <c r="AP10" s="255">
        <v>1801.6666666666667</v>
      </c>
      <c r="AQ10" s="261">
        <v>1100</v>
      </c>
      <c r="AR10" s="262">
        <f>SUM(L10:AQ10)</f>
        <v>9859.6252807159399</v>
      </c>
      <c r="AT10" s="21" t="e">
        <f>(J10+#REF!)/($J$31+#REF!)</f>
        <v>#REF!</v>
      </c>
      <c r="AU10" s="14" t="e">
        <f>AT10*$AU$8</f>
        <v>#REF!</v>
      </c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72"/>
      <c r="BG10" s="46"/>
      <c r="BH10" s="46"/>
      <c r="BI10" s="46"/>
      <c r="BJ10" s="46"/>
      <c r="BK10" s="65"/>
      <c r="BL10" s="127">
        <v>0.22539811263780049</v>
      </c>
      <c r="BM10" s="127">
        <v>1.6345688618650489E-2</v>
      </c>
      <c r="BN10" s="127">
        <v>8.9655172413793102E-2</v>
      </c>
      <c r="BO10" s="128">
        <v>4.8595550095447332E-2</v>
      </c>
      <c r="BP10" s="127">
        <v>7.3533787287580858E-3</v>
      </c>
      <c r="BQ10" s="127">
        <v>5.5847175833168894E-2</v>
      </c>
      <c r="BR10" s="127">
        <v>2.47E-2</v>
      </c>
      <c r="BS10" s="127">
        <v>7.2066666666666668E-2</v>
      </c>
      <c r="BT10" s="82"/>
      <c r="BU10" s="82"/>
      <c r="BV10" s="82"/>
      <c r="BW10" s="82"/>
      <c r="BX10" s="83">
        <f>SUM(BL10*$BP$37)</f>
        <v>237943.46314223731</v>
      </c>
      <c r="BY10" s="83">
        <f t="shared" ref="BY10:BY30" si="0">SUM(BM10*$BP$39)</f>
        <v>2550.8082064585274</v>
      </c>
      <c r="BZ10" s="83">
        <f t="shared" ref="BZ10:BZ30" si="1">SUM(BN10*$BP$40)</f>
        <v>10699.029009460142</v>
      </c>
      <c r="CA10" s="83">
        <f t="shared" ref="CA10:CA30" si="2">BO10*$BS$41*$BT$41</f>
        <v>0</v>
      </c>
      <c r="CB10" s="83">
        <f t="shared" ref="CB10:CB30" si="3">SUM(BP10*$BP$42)</f>
        <v>607.51234378207994</v>
      </c>
      <c r="CC10" s="83">
        <f t="shared" ref="CC10:CC30" si="4">SUM(BQ10*$BP$43)</f>
        <v>13329.081596714897</v>
      </c>
      <c r="CD10" s="83">
        <f>SUM(BR10*$BP$44)</f>
        <v>3627.793836438485</v>
      </c>
      <c r="CE10" s="83">
        <f>SUM(BS10*$BP$45)</f>
        <v>2646.1843030971677</v>
      </c>
      <c r="CF10" s="84">
        <f>SUM(BX10:CE10)</f>
        <v>271403.87243818864</v>
      </c>
      <c r="CH10" s="15">
        <f t="shared" ref="CH10:CH30" si="5">J10</f>
        <v>0</v>
      </c>
      <c r="CI10" s="5" t="e">
        <f>-#REF!</f>
        <v>#REF!</v>
      </c>
      <c r="CK10" s="4">
        <v>32000</v>
      </c>
      <c r="CL10" s="5" t="e">
        <f>CH10-CI10-CJ10-CK10</f>
        <v>#REF!</v>
      </c>
      <c r="CM10" s="35" t="e">
        <f>CL10/$CL$31</f>
        <v>#REF!</v>
      </c>
      <c r="CN10" s="22" t="e">
        <f t="shared" ref="CN10:CN30" si="6">CM10*$C$15</f>
        <v>#REF!</v>
      </c>
      <c r="CR10" s="93" t="s">
        <v>8</v>
      </c>
      <c r="CS10" s="266">
        <f>SUM(AR10)</f>
        <v>9859.6252807159399</v>
      </c>
      <c r="CT10" s="96"/>
      <c r="CU10" s="96">
        <f>$B$22</f>
        <v>36700</v>
      </c>
      <c r="CV10" s="96">
        <f>CF10</f>
        <v>271403.87243818864</v>
      </c>
      <c r="CW10" s="96"/>
      <c r="CX10" s="267">
        <f>SUM(CS10:CV10)+1</f>
        <v>317964.49771890457</v>
      </c>
      <c r="CY10" s="123">
        <f>CX10/$CX$31</f>
        <v>0.11565886635795562</v>
      </c>
      <c r="CZ10" s="110"/>
      <c r="DA10" s="96"/>
      <c r="DB10" s="96">
        <v>12675</v>
      </c>
      <c r="DC10" s="175"/>
      <c r="DD10" s="150"/>
      <c r="DE10" s="150"/>
      <c r="DF10" s="194"/>
      <c r="DG10" s="195"/>
      <c r="DH10" s="196"/>
      <c r="DI10" s="165"/>
      <c r="DJ10" s="5"/>
      <c r="DL10" s="149"/>
      <c r="DM10" s="149"/>
      <c r="DN10" s="48"/>
      <c r="DO10" s="149"/>
      <c r="DP10" s="150"/>
      <c r="DQ10" s="150"/>
      <c r="DR10" s="150"/>
      <c r="DS10" s="150"/>
      <c r="DT10" s="112"/>
      <c r="DU10" s="111"/>
      <c r="DV10" s="113"/>
      <c r="DW10" s="135"/>
      <c r="DX10" s="49"/>
      <c r="DY10" s="5"/>
      <c r="DZ10" s="4"/>
      <c r="EA10" s="5"/>
      <c r="EB10" s="5"/>
      <c r="EC10" s="42"/>
      <c r="ED10" s="5"/>
      <c r="EF10" s="5"/>
      <c r="EG10" s="5"/>
      <c r="EH10" s="5"/>
      <c r="EI10" s="5"/>
      <c r="EK10" s="5"/>
      <c r="EL10" s="42"/>
      <c r="EP10" s="42"/>
      <c r="EQ10" s="42"/>
      <c r="ER10" s="42"/>
      <c r="EV10" s="42"/>
      <c r="EW10" s="5"/>
      <c r="EY10" s="32"/>
    </row>
    <row r="11" spans="1:155" x14ac:dyDescent="0.25">
      <c r="A11" s="161" t="s">
        <v>111</v>
      </c>
      <c r="B11" s="4"/>
      <c r="C11" s="52">
        <f>-21*36700</f>
        <v>-770700</v>
      </c>
      <c r="D11" s="4" t="s">
        <v>182</v>
      </c>
      <c r="E11" s="162" t="s">
        <v>115</v>
      </c>
      <c r="F11" s="8"/>
      <c r="H11" s="3" t="s">
        <v>13</v>
      </c>
      <c r="I11" s="3" t="s">
        <v>2</v>
      </c>
      <c r="J11" s="42"/>
      <c r="K11" s="7"/>
      <c r="L11" s="242"/>
      <c r="M11" s="60"/>
      <c r="N11" s="60"/>
      <c r="O11" s="60"/>
      <c r="P11" s="60"/>
      <c r="Q11" s="60"/>
      <c r="R11" s="60"/>
      <c r="S11" s="60">
        <f>806.108818303748*1.0362*1.006*1.0089*1.0057*1.0276*1.0091*1.0182*1.0155</f>
        <v>914.16193811307949</v>
      </c>
      <c r="T11" s="60"/>
      <c r="U11" s="60"/>
      <c r="V11" s="60"/>
      <c r="W11" s="60"/>
      <c r="X11" s="60"/>
      <c r="Y11" s="60"/>
      <c r="Z11" s="60"/>
      <c r="AA11" s="60">
        <v>-958.79532233812301</v>
      </c>
      <c r="AB11" s="60"/>
      <c r="AC11" s="60"/>
      <c r="AD11" s="60"/>
      <c r="AE11" s="60">
        <f>-389*1.006*1.0089*1.0057*1.0276*1.0091*1.0182*1.0155</f>
        <v>-425.73119755815162</v>
      </c>
      <c r="AF11" s="60"/>
      <c r="AG11" s="60"/>
      <c r="AH11" s="60"/>
      <c r="AI11" s="60"/>
      <c r="AJ11" s="56"/>
      <c r="AK11" s="60">
        <f>840*1.0276*1.0091*1.0182*1.0155</f>
        <v>900.63870793195838</v>
      </c>
      <c r="AL11" s="237">
        <f>3110*1.0276*1.0091*1.0182*1.0155</f>
        <v>3334.5075972242744</v>
      </c>
      <c r="AM11" s="60">
        <f>-450*1.0276*1.0091*1.0182*1.0155</f>
        <v>-482.48502210640623</v>
      </c>
      <c r="AN11" s="60"/>
      <c r="AO11" s="60"/>
      <c r="AP11" s="255">
        <v>919.16666666666674</v>
      </c>
      <c r="AQ11" s="261">
        <v>650</v>
      </c>
      <c r="AR11" s="262">
        <f t="shared" ref="AR11:AR30" si="7">SUM(L11:AQ11)</f>
        <v>4851.4633679332983</v>
      </c>
      <c r="AT11" s="21" t="e">
        <f>(J11+#REF!)/($J$31+#REF!)</f>
        <v>#REF!</v>
      </c>
      <c r="AU11" s="14" t="e">
        <f t="shared" ref="AU11:AU30" si="8">AT11*$AU$8</f>
        <v>#REF!</v>
      </c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72"/>
      <c r="BG11" s="46"/>
      <c r="BH11" s="46"/>
      <c r="BI11" s="46"/>
      <c r="BJ11" s="46"/>
      <c r="BK11" s="65"/>
      <c r="BL11" s="127">
        <v>3.5872913997855242E-2</v>
      </c>
      <c r="BM11" s="127">
        <v>1.9138455203796999E-2</v>
      </c>
      <c r="BN11" s="127">
        <v>2.7586206896551724E-2</v>
      </c>
      <c r="BO11" s="128">
        <v>1.9131968855911435E-2</v>
      </c>
      <c r="BP11" s="127">
        <v>9.2411905291647882E-3</v>
      </c>
      <c r="BQ11" s="127">
        <v>2.9306611395587056E-2</v>
      </c>
      <c r="BR11" s="127">
        <v>3.6900000000000002E-2</v>
      </c>
      <c r="BS11" s="127">
        <v>3.676666666666667E-2</v>
      </c>
      <c r="BT11" s="82"/>
      <c r="BU11" s="82"/>
      <c r="BV11" s="82"/>
      <c r="BW11" s="82"/>
      <c r="BX11" s="83">
        <f t="shared" ref="BX11:BX30" si="9">SUM(BL11*$BP$37)</f>
        <v>37869.551300856059</v>
      </c>
      <c r="BY11" s="83">
        <f t="shared" si="0"/>
        <v>2986.6302810321604</v>
      </c>
      <c r="BZ11" s="83">
        <f t="shared" si="1"/>
        <v>3292.0089259877359</v>
      </c>
      <c r="CA11" s="83">
        <f t="shared" si="2"/>
        <v>0</v>
      </c>
      <c r="CB11" s="83">
        <f t="shared" si="3"/>
        <v>763.47724288339953</v>
      </c>
      <c r="CC11" s="83">
        <f t="shared" si="4"/>
        <v>6994.6279070926703</v>
      </c>
      <c r="CD11" s="83">
        <f t="shared" ref="CD11:CD30" si="10">SUM(BR11*$BP$44)</f>
        <v>5419.6596179991948</v>
      </c>
      <c r="CE11" s="83">
        <f t="shared" ref="CE11:CE30" si="11">SUM(BS11*$BP$45)</f>
        <v>1350.0190963534581</v>
      </c>
      <c r="CF11" s="84">
        <f t="shared" ref="CF11:CF30" si="12">SUM(BX11:CE11)</f>
        <v>58675.97437220467</v>
      </c>
      <c r="CH11" s="15">
        <f t="shared" si="5"/>
        <v>0</v>
      </c>
      <c r="CI11" s="5" t="e">
        <f>-#REF!</f>
        <v>#REF!</v>
      </c>
      <c r="CK11" s="4">
        <v>32000</v>
      </c>
      <c r="CL11" s="5" t="e">
        <f t="shared" ref="CL11:CL30" si="13">CH11-CI11-CJ11-CK11</f>
        <v>#REF!</v>
      </c>
      <c r="CM11" s="35" t="e">
        <f t="shared" ref="CM11:CM30" si="14">CL11/$CL$31</f>
        <v>#REF!</v>
      </c>
      <c r="CN11" s="22" t="e">
        <f t="shared" si="6"/>
        <v>#REF!</v>
      </c>
      <c r="CR11" s="93" t="s">
        <v>2</v>
      </c>
      <c r="CS11" s="266">
        <f t="shared" ref="CS11:CS30" si="15">SUM(AR11)</f>
        <v>4851.4633679332983</v>
      </c>
      <c r="CT11" s="96"/>
      <c r="CU11" s="96">
        <f t="shared" ref="CU11:CU30" si="16">$B$22</f>
        <v>36700</v>
      </c>
      <c r="CV11" s="96">
        <f>CF11</f>
        <v>58675.97437220467</v>
      </c>
      <c r="CW11" s="96"/>
      <c r="CX11" s="267">
        <f t="shared" ref="CX11:CX30" si="17">SUM(CS11:CV11)</f>
        <v>100227.43774013798</v>
      </c>
      <c r="CY11" s="123">
        <f t="shared" ref="CY11:CY31" si="18">CX11/$CX$31</f>
        <v>3.6457503621158904E-2</v>
      </c>
      <c r="CZ11" s="110"/>
      <c r="DA11" s="96"/>
      <c r="DB11" s="96">
        <v>3983</v>
      </c>
      <c r="DC11" s="175"/>
      <c r="DD11" s="150"/>
      <c r="DE11" s="150"/>
      <c r="DF11" s="194"/>
      <c r="DG11" s="195"/>
      <c r="DH11" s="196"/>
      <c r="DI11" s="165"/>
      <c r="DJ11" s="5"/>
      <c r="DL11" s="149"/>
      <c r="DM11" s="149"/>
      <c r="DN11" s="48"/>
      <c r="DO11" s="149"/>
      <c r="DP11" s="150"/>
      <c r="DQ11" s="150"/>
      <c r="DR11" s="150"/>
      <c r="DS11" s="150"/>
      <c r="DT11" s="112"/>
      <c r="DU11" s="111"/>
      <c r="DV11" s="113"/>
      <c r="DW11" s="135"/>
      <c r="DX11" s="48"/>
      <c r="DY11" s="5"/>
      <c r="DZ11" s="131"/>
      <c r="EA11" s="5"/>
      <c r="EB11" s="5"/>
      <c r="EC11" s="42"/>
      <c r="ED11" s="5"/>
      <c r="EF11" s="5"/>
      <c r="EG11" s="5"/>
      <c r="EH11" s="5"/>
      <c r="EI11" s="5"/>
      <c r="EK11" s="5"/>
      <c r="EL11" s="42"/>
      <c r="EP11" s="42"/>
      <c r="EQ11" s="42"/>
      <c r="ER11" s="42"/>
      <c r="EV11" s="42"/>
      <c r="EW11" s="5"/>
      <c r="EY11" s="32"/>
    </row>
    <row r="12" spans="1:155" x14ac:dyDescent="0.25">
      <c r="A12" s="161"/>
      <c r="B12" s="4"/>
      <c r="C12" s="4"/>
      <c r="D12" s="4"/>
      <c r="E12" s="162"/>
      <c r="F12" s="4"/>
      <c r="H12" s="3" t="s">
        <v>14</v>
      </c>
      <c r="I12" s="3" t="s">
        <v>15</v>
      </c>
      <c r="J12" s="42"/>
      <c r="K12" s="7"/>
      <c r="L12" s="242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>
        <v>-832.06552094866402</v>
      </c>
      <c r="AB12" s="60"/>
      <c r="AC12" s="60"/>
      <c r="AD12" s="60"/>
      <c r="AE12" s="60">
        <f>-275*1.006*1.0089*1.0057*1.0276*1.0091*1.0182*1.0155</f>
        <v>-300.96678490614835</v>
      </c>
      <c r="AF12" s="60"/>
      <c r="AG12" s="60"/>
      <c r="AH12" s="60"/>
      <c r="AI12" s="60"/>
      <c r="AJ12" s="56"/>
      <c r="AK12" s="60">
        <f>840*1.0276*1.0091*1.0182*1.0155</f>
        <v>900.63870793195838</v>
      </c>
      <c r="AL12" s="60">
        <f>-1862*1.0276*1.0091*1.0182*1.0155</f>
        <v>-1996.4158025825075</v>
      </c>
      <c r="AM12" s="60">
        <f>-815*1.0276*1.0091*1.0182*1.0155</f>
        <v>-873.83398448160256</v>
      </c>
      <c r="AN12" s="60"/>
      <c r="AO12" s="60"/>
      <c r="AP12" s="255">
        <v>720.00000000000011</v>
      </c>
      <c r="AQ12" s="261">
        <v>650</v>
      </c>
      <c r="AR12" s="262">
        <f t="shared" si="7"/>
        <v>-1732.6433849869645</v>
      </c>
      <c r="AT12" s="21" t="e">
        <f>(J12+#REF!)/($J$31+#REF!)</f>
        <v>#REF!</v>
      </c>
      <c r="AU12" s="14" t="e">
        <f t="shared" si="8"/>
        <v>#REF!</v>
      </c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72"/>
      <c r="BG12" s="46"/>
      <c r="BH12" s="46"/>
      <c r="BI12" s="46"/>
      <c r="BJ12" s="46"/>
      <c r="BK12" s="65"/>
      <c r="BL12" s="127">
        <v>2.8785767645584052E-2</v>
      </c>
      <c r="BM12" s="127">
        <v>1.5728989792262355E-2</v>
      </c>
      <c r="BN12" s="127">
        <v>3.1034482758620689E-2</v>
      </c>
      <c r="BO12" s="128">
        <v>2.4052688932675932E-2</v>
      </c>
      <c r="BP12" s="127">
        <v>1.6294102317640752E-2</v>
      </c>
      <c r="BQ12" s="127">
        <v>3.2678929636908799E-2</v>
      </c>
      <c r="BR12" s="127">
        <v>2.8400000000000002E-2</v>
      </c>
      <c r="BS12" s="127">
        <v>2.8800000000000003E-2</v>
      </c>
      <c r="BT12" s="82"/>
      <c r="BU12" s="82"/>
      <c r="BV12" s="82"/>
      <c r="BW12" s="82"/>
      <c r="BX12" s="83">
        <f t="shared" si="9"/>
        <v>30387.944080989422</v>
      </c>
      <c r="BY12" s="83">
        <f t="shared" si="0"/>
        <v>2454.5699589325527</v>
      </c>
      <c r="BZ12" s="83">
        <f t="shared" si="1"/>
        <v>3703.5100417362028</v>
      </c>
      <c r="CA12" s="83">
        <f t="shared" si="2"/>
        <v>0</v>
      </c>
      <c r="CB12" s="83">
        <f t="shared" si="3"/>
        <v>1346.1659808302541</v>
      </c>
      <c r="CC12" s="83">
        <f t="shared" si="4"/>
        <v>7799.5012840910977</v>
      </c>
      <c r="CD12" s="83">
        <f t="shared" si="10"/>
        <v>4171.2285406823066</v>
      </c>
      <c r="CE12" s="83">
        <f t="shared" si="11"/>
        <v>1057.494559609599</v>
      </c>
      <c r="CF12" s="84">
        <f t="shared" si="12"/>
        <v>50920.414446871444</v>
      </c>
      <c r="CH12" s="15">
        <f t="shared" si="5"/>
        <v>0</v>
      </c>
      <c r="CI12" s="5" t="e">
        <f>-#REF!</f>
        <v>#REF!</v>
      </c>
      <c r="CK12" s="4">
        <v>32000</v>
      </c>
      <c r="CL12" s="5" t="e">
        <f t="shared" si="13"/>
        <v>#REF!</v>
      </c>
      <c r="CM12" s="35" t="e">
        <f t="shared" si="14"/>
        <v>#REF!</v>
      </c>
      <c r="CN12" s="22" t="e">
        <f t="shared" si="6"/>
        <v>#REF!</v>
      </c>
      <c r="CR12" s="93" t="s">
        <v>15</v>
      </c>
      <c r="CS12" s="266">
        <f t="shared" si="15"/>
        <v>-1732.6433849869645</v>
      </c>
      <c r="CT12" s="96"/>
      <c r="CU12" s="96">
        <f t="shared" si="16"/>
        <v>36700</v>
      </c>
      <c r="CV12" s="96">
        <f t="shared" ref="CV12:CV29" si="19">CF12</f>
        <v>50920.414446871444</v>
      </c>
      <c r="CW12" s="96"/>
      <c r="CX12" s="267">
        <f t="shared" si="17"/>
        <v>85887.771061884472</v>
      </c>
      <c r="CY12" s="123">
        <f t="shared" si="18"/>
        <v>3.1241482323636719E-2</v>
      </c>
      <c r="CZ12" s="110"/>
      <c r="DA12" s="96"/>
      <c r="DB12" s="96">
        <v>3410</v>
      </c>
      <c r="DC12" s="175"/>
      <c r="DD12" s="150"/>
      <c r="DE12" s="150"/>
      <c r="DF12" s="194"/>
      <c r="DG12" s="195"/>
      <c r="DH12" s="196"/>
      <c r="DI12" s="165"/>
      <c r="DJ12" s="5"/>
      <c r="DL12" s="149"/>
      <c r="DM12" s="149"/>
      <c r="DN12" s="48"/>
      <c r="DO12" s="149"/>
      <c r="DP12" s="150"/>
      <c r="DQ12" s="150"/>
      <c r="DR12" s="150"/>
      <c r="DS12" s="150"/>
      <c r="DT12" s="112"/>
      <c r="DU12" s="111"/>
      <c r="DV12" s="113"/>
      <c r="DW12" s="98"/>
      <c r="DX12" s="48"/>
      <c r="DY12" s="5"/>
      <c r="DZ12" s="131"/>
      <c r="EA12" s="5"/>
      <c r="EB12" s="5"/>
      <c r="EC12" s="42"/>
      <c r="ED12" s="5"/>
      <c r="EF12" s="5"/>
      <c r="EG12" s="5"/>
      <c r="EH12" s="5"/>
      <c r="EI12" s="5"/>
      <c r="EK12" s="5"/>
      <c r="EL12" s="42"/>
      <c r="EP12" s="42"/>
      <c r="EQ12" s="42"/>
      <c r="ER12" s="42"/>
      <c r="EV12" s="42"/>
      <c r="EW12" s="5"/>
      <c r="EY12" s="32"/>
    </row>
    <row r="13" spans="1:155" x14ac:dyDescent="0.25">
      <c r="A13" s="161" t="s">
        <v>51</v>
      </c>
      <c r="B13" s="4"/>
      <c r="C13" s="5">
        <f>SUM(C7:C12)</f>
        <v>1835928.0548777757</v>
      </c>
      <c r="D13" s="4"/>
      <c r="E13" s="162"/>
      <c r="F13" s="4"/>
      <c r="H13" s="3" t="s">
        <v>16</v>
      </c>
      <c r="I13" s="3" t="s">
        <v>17</v>
      </c>
      <c r="J13" s="42"/>
      <c r="K13" s="7"/>
      <c r="L13" s="242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>
        <v>-1350.5754522776699</v>
      </c>
      <c r="AB13" s="60"/>
      <c r="AC13" s="60"/>
      <c r="AD13" s="60"/>
      <c r="AE13" s="60">
        <f>577*1.006*1.0089*1.0057*1.0276*1.0091*1.0182*1.0155</f>
        <v>631.48303596671849</v>
      </c>
      <c r="AF13" s="60"/>
      <c r="AG13" s="60"/>
      <c r="AH13" s="60"/>
      <c r="AI13" s="60"/>
      <c r="AJ13" s="56"/>
      <c r="AK13" s="60">
        <f>840*1.0276*1.0091*1.0182*1.0155</f>
        <v>900.63870793195838</v>
      </c>
      <c r="AL13" s="60">
        <f>1143*1.0276*1.0091*1.0182*1.0155</f>
        <v>1225.511956150272</v>
      </c>
      <c r="AM13" s="60">
        <f>1374*1.0276*1.0091*1.0182*1.0155</f>
        <v>1473.1876008315608</v>
      </c>
      <c r="AN13" s="60"/>
      <c r="AO13" s="60"/>
      <c r="AP13" s="255">
        <v>1162.5000000000002</v>
      </c>
      <c r="AQ13" s="261">
        <v>650</v>
      </c>
      <c r="AR13" s="262">
        <f t="shared" si="7"/>
        <v>4692.7458486028399</v>
      </c>
      <c r="AT13" s="21" t="e">
        <f>(J13+#REF!)/($J$31+#REF!)</f>
        <v>#REF!</v>
      </c>
      <c r="AU13" s="14" t="e">
        <f t="shared" si="8"/>
        <v>#REF!</v>
      </c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72"/>
      <c r="BG13" s="46"/>
      <c r="BH13" s="46"/>
      <c r="BI13" s="46"/>
      <c r="BJ13" s="46"/>
      <c r="BK13" s="65"/>
      <c r="BL13" s="127">
        <v>4.5335293166953117E-2</v>
      </c>
      <c r="BM13" s="127">
        <v>2.7386508308964917E-2</v>
      </c>
      <c r="BN13" s="127">
        <v>4.4827586206896551E-2</v>
      </c>
      <c r="BO13" s="128">
        <v>3.0626396143953967E-2</v>
      </c>
      <c r="BP13" s="127">
        <v>1.8747671381212812E-2</v>
      </c>
      <c r="BQ13" s="127">
        <v>5.6985358844047672E-2</v>
      </c>
      <c r="BR13" s="127">
        <v>5.6599999999999998E-2</v>
      </c>
      <c r="BS13" s="127">
        <v>4.6500000000000007E-2</v>
      </c>
      <c r="BT13" s="82"/>
      <c r="BU13" s="82"/>
      <c r="BV13" s="82"/>
      <c r="BW13" s="82"/>
      <c r="BX13" s="83">
        <f t="shared" si="9"/>
        <v>47858.593545757816</v>
      </c>
      <c r="BY13" s="83">
        <f t="shared" si="0"/>
        <v>4273.7710090136206</v>
      </c>
      <c r="BZ13" s="83">
        <f t="shared" si="1"/>
        <v>5349.5145047300712</v>
      </c>
      <c r="CA13" s="83">
        <f t="shared" si="2"/>
        <v>0</v>
      </c>
      <c r="CB13" s="83">
        <f t="shared" si="3"/>
        <v>1548.8719133579002</v>
      </c>
      <c r="CC13" s="83">
        <f t="shared" si="4"/>
        <v>13600.732472478385</v>
      </c>
      <c r="CD13" s="83">
        <f t="shared" si="10"/>
        <v>8313.0822324865694</v>
      </c>
      <c r="CE13" s="83">
        <f t="shared" si="11"/>
        <v>1707.4130910363317</v>
      </c>
      <c r="CF13" s="84">
        <f t="shared" si="12"/>
        <v>82651.978768860703</v>
      </c>
      <c r="CH13" s="15">
        <f t="shared" si="5"/>
        <v>0</v>
      </c>
      <c r="CI13" s="5" t="e">
        <f>-#REF!</f>
        <v>#REF!</v>
      </c>
      <c r="CK13" s="4">
        <v>32000</v>
      </c>
      <c r="CL13" s="5" t="e">
        <f t="shared" si="13"/>
        <v>#REF!</v>
      </c>
      <c r="CM13" s="35" t="e">
        <f t="shared" si="14"/>
        <v>#REF!</v>
      </c>
      <c r="CN13" s="22" t="e">
        <f t="shared" si="6"/>
        <v>#REF!</v>
      </c>
      <c r="CR13" s="93" t="s">
        <v>17</v>
      </c>
      <c r="CS13" s="266">
        <f t="shared" si="15"/>
        <v>4692.7458486028399</v>
      </c>
      <c r="CT13" s="96"/>
      <c r="CU13" s="96">
        <f t="shared" si="16"/>
        <v>36700</v>
      </c>
      <c r="CV13" s="96">
        <f t="shared" si="19"/>
        <v>82651.978768860703</v>
      </c>
      <c r="CW13" s="96"/>
      <c r="CX13" s="267">
        <f t="shared" si="17"/>
        <v>124044.72461746354</v>
      </c>
      <c r="CY13" s="123">
        <f t="shared" si="18"/>
        <v>4.5120987814255685E-2</v>
      </c>
      <c r="CZ13" s="110"/>
      <c r="DA13" s="96"/>
      <c r="DB13" s="96">
        <v>4936</v>
      </c>
      <c r="DC13" s="175"/>
      <c r="DD13" s="150"/>
      <c r="DE13" s="150"/>
      <c r="DF13" s="194"/>
      <c r="DG13" s="195"/>
      <c r="DH13" s="196"/>
      <c r="DI13" s="165"/>
      <c r="DJ13" s="5"/>
      <c r="DL13" s="149"/>
      <c r="DM13" s="149"/>
      <c r="DN13" s="48"/>
      <c r="DO13" s="149"/>
      <c r="DP13" s="150"/>
      <c r="DQ13" s="150"/>
      <c r="DR13" s="150"/>
      <c r="DS13" s="150"/>
      <c r="DT13" s="112"/>
      <c r="DU13" s="111"/>
      <c r="DV13" s="113"/>
      <c r="DW13" s="135"/>
      <c r="DX13" s="49"/>
      <c r="DY13" s="5"/>
      <c r="DZ13" s="131"/>
      <c r="EA13" s="5"/>
      <c r="EB13" s="5"/>
      <c r="EC13" s="42"/>
      <c r="ED13" s="5"/>
      <c r="EF13" s="5"/>
      <c r="EG13" s="5"/>
      <c r="EH13" s="5"/>
      <c r="EI13" s="5"/>
      <c r="EK13" s="5"/>
      <c r="EL13" s="42"/>
      <c r="EP13" s="42"/>
      <c r="EQ13" s="42"/>
      <c r="ER13" s="42"/>
      <c r="EV13" s="42"/>
      <c r="EW13" s="5"/>
      <c r="EY13" s="32"/>
    </row>
    <row r="14" spans="1:155" x14ac:dyDescent="0.25">
      <c r="A14" s="161"/>
      <c r="B14" s="4"/>
      <c r="C14" s="4"/>
      <c r="D14" s="4"/>
      <c r="E14" s="162"/>
      <c r="F14" s="4"/>
      <c r="H14" s="3" t="s">
        <v>18</v>
      </c>
      <c r="I14" s="3" t="s">
        <v>19</v>
      </c>
      <c r="J14" s="42"/>
      <c r="K14" s="6"/>
      <c r="L14" s="242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>
        <v>-1205.5758331670399</v>
      </c>
      <c r="AB14" s="60"/>
      <c r="AC14" s="60"/>
      <c r="AD14" s="60"/>
      <c r="AE14" s="60">
        <f>-960*1.006*1.0089*1.0057*1.0276*1.0091*1.0182*1.0155</f>
        <v>-1050.6476854905541</v>
      </c>
      <c r="AF14" s="60"/>
      <c r="AG14" s="60">
        <v>4950</v>
      </c>
      <c r="AH14" s="60"/>
      <c r="AI14" s="60"/>
      <c r="AJ14" s="56"/>
      <c r="AK14" s="60"/>
      <c r="AL14" s="60">
        <f>-1143*1.0276*1.0091*1.0182*1.0155</f>
        <v>-1225.511956150272</v>
      </c>
      <c r="AM14" s="60">
        <f>-800*1.0276*1.0091*1.0182*1.0155</f>
        <v>-857.75115041138895</v>
      </c>
      <c r="AN14" s="60"/>
      <c r="AO14" s="60"/>
      <c r="AP14" s="255">
        <v>1316.6666666666667</v>
      </c>
      <c r="AQ14" s="261">
        <v>650</v>
      </c>
      <c r="AR14" s="262">
        <f t="shared" si="7"/>
        <v>2577.1800414474119</v>
      </c>
      <c r="AT14" s="21" t="e">
        <f>(J14+#REF!)/($J$31+#REF!)</f>
        <v>#REF!</v>
      </c>
      <c r="AU14" s="14" t="e">
        <f t="shared" si="8"/>
        <v>#REF!</v>
      </c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72"/>
      <c r="BG14" s="46"/>
      <c r="BH14" s="46"/>
      <c r="BI14" s="46"/>
      <c r="BJ14" s="46"/>
      <c r="BK14" s="65"/>
      <c r="BL14" s="127">
        <v>3.5333987464880985E-2</v>
      </c>
      <c r="BM14" s="127">
        <v>2.6053763228258541E-2</v>
      </c>
      <c r="BN14" s="127">
        <v>4.4827586206896551E-2</v>
      </c>
      <c r="BO14" s="128">
        <v>1.5973392651191336E-2</v>
      </c>
      <c r="BP14" s="127">
        <v>2.1072259514322306E-2</v>
      </c>
      <c r="BQ14" s="127">
        <v>5.8852848645641817E-2</v>
      </c>
      <c r="BR14" s="127">
        <v>6.3600000000000004E-2</v>
      </c>
      <c r="BS14" s="127">
        <v>5.2666666666666667E-2</v>
      </c>
      <c r="BT14" s="82"/>
      <c r="BU14" s="82"/>
      <c r="BV14" s="82"/>
      <c r="BW14" s="82"/>
      <c r="BX14" s="83">
        <f t="shared" si="9"/>
        <v>37300.628854547926</v>
      </c>
      <c r="BY14" s="83">
        <f t="shared" si="0"/>
        <v>4065.7909619017405</v>
      </c>
      <c r="BZ14" s="83">
        <f t="shared" si="1"/>
        <v>5349.5145047300712</v>
      </c>
      <c r="CA14" s="83">
        <f t="shared" si="2"/>
        <v>0</v>
      </c>
      <c r="CB14" s="83">
        <f t="shared" si="3"/>
        <v>1740.9218589904256</v>
      </c>
      <c r="CC14" s="83">
        <f t="shared" si="4"/>
        <v>14046.447471941212</v>
      </c>
      <c r="CD14" s="83">
        <f t="shared" si="10"/>
        <v>9341.2019432181241</v>
      </c>
      <c r="CE14" s="83">
        <f t="shared" si="11"/>
        <v>1933.8442178045907</v>
      </c>
      <c r="CF14" s="84">
        <f t="shared" si="12"/>
        <v>73778.349813134089</v>
      </c>
      <c r="CH14" s="15">
        <f t="shared" si="5"/>
        <v>0</v>
      </c>
      <c r="CI14" s="5" t="e">
        <f>-#REF!</f>
        <v>#REF!</v>
      </c>
      <c r="CK14" s="4">
        <v>32000</v>
      </c>
      <c r="CL14" s="5" t="e">
        <f t="shared" si="13"/>
        <v>#REF!</v>
      </c>
      <c r="CM14" s="35" t="e">
        <f t="shared" si="14"/>
        <v>#REF!</v>
      </c>
      <c r="CN14" s="22" t="e">
        <f t="shared" si="6"/>
        <v>#REF!</v>
      </c>
      <c r="CR14" s="93" t="s">
        <v>19</v>
      </c>
      <c r="CS14" s="266">
        <f t="shared" si="15"/>
        <v>2577.1800414474119</v>
      </c>
      <c r="CT14" s="96"/>
      <c r="CU14" s="96">
        <f t="shared" si="16"/>
        <v>36700</v>
      </c>
      <c r="CV14" s="96">
        <f t="shared" si="19"/>
        <v>73778.349813134089</v>
      </c>
      <c r="CW14" s="96"/>
      <c r="CX14" s="267">
        <f t="shared" si="17"/>
        <v>113055.5298545815</v>
      </c>
      <c r="CY14" s="123">
        <f t="shared" si="18"/>
        <v>4.1123693092423752E-2</v>
      </c>
      <c r="CZ14" s="110"/>
      <c r="DA14" s="96"/>
      <c r="DB14" s="96">
        <v>4496</v>
      </c>
      <c r="DC14" s="175"/>
      <c r="DD14" s="150"/>
      <c r="DE14" s="150"/>
      <c r="DF14" s="194"/>
      <c r="DG14" s="195"/>
      <c r="DH14" s="196"/>
      <c r="DI14" s="165"/>
      <c r="DJ14" s="5"/>
      <c r="DL14" s="149"/>
      <c r="DM14" s="149"/>
      <c r="DN14" s="48"/>
      <c r="DO14" s="149"/>
      <c r="DP14" s="150"/>
      <c r="DQ14" s="150"/>
      <c r="DR14" s="150"/>
      <c r="DS14" s="150"/>
      <c r="DT14" s="112"/>
      <c r="DU14" s="111"/>
      <c r="DV14" s="113"/>
      <c r="DW14" s="135"/>
      <c r="DX14" s="49"/>
      <c r="DY14" s="5"/>
      <c r="DZ14" s="132"/>
      <c r="EA14" s="5"/>
      <c r="EB14" s="5"/>
      <c r="EC14" s="42"/>
      <c r="ED14" s="5"/>
      <c r="EF14" s="5"/>
      <c r="EG14" s="5"/>
      <c r="EH14" s="5"/>
      <c r="EI14" s="5"/>
      <c r="EK14" s="5"/>
      <c r="EL14" s="42"/>
      <c r="EP14" s="42"/>
      <c r="EQ14" s="42"/>
      <c r="ER14" s="42"/>
      <c r="EV14" s="42"/>
      <c r="EW14" s="5"/>
      <c r="EY14" s="32"/>
    </row>
    <row r="15" spans="1:155" x14ac:dyDescent="0.25">
      <c r="A15" s="161"/>
      <c r="B15" s="4"/>
      <c r="C15" s="5"/>
      <c r="D15" s="9"/>
      <c r="E15" s="162"/>
      <c r="F15" s="4"/>
      <c r="H15" s="3" t="s">
        <v>20</v>
      </c>
      <c r="I15" s="3" t="s">
        <v>1</v>
      </c>
      <c r="J15" s="42"/>
      <c r="K15" s="6"/>
      <c r="L15" s="242"/>
      <c r="M15" s="60"/>
      <c r="N15" s="60"/>
      <c r="O15" s="60"/>
      <c r="P15" s="60"/>
      <c r="Q15" s="60"/>
      <c r="R15" s="60"/>
      <c r="S15" s="60"/>
      <c r="T15" s="60">
        <f>332.519887550296*1.0362*1.006*1.0089*1.0057*1.0276*1.0091*1.0182*1.0155</f>
        <v>377.09179947164529</v>
      </c>
      <c r="U15" s="60"/>
      <c r="V15" s="60"/>
      <c r="W15" s="60"/>
      <c r="X15" s="60"/>
      <c r="Y15" s="60"/>
      <c r="Z15" s="60"/>
      <c r="AA15" s="60">
        <v>-710.084081994185</v>
      </c>
      <c r="AB15" s="60"/>
      <c r="AC15" s="60"/>
      <c r="AD15" s="60"/>
      <c r="AE15" s="60">
        <f>-98*1.006*1.0089*1.0057*1.0276*1.0091*1.0182*1.0155</f>
        <v>-107.2536178938274</v>
      </c>
      <c r="AF15" s="60"/>
      <c r="AG15" s="60"/>
      <c r="AH15" s="60"/>
      <c r="AI15" s="60"/>
      <c r="AJ15" s="56">
        <v>1500</v>
      </c>
      <c r="AK15" s="60"/>
      <c r="AL15" s="60">
        <f>-1272*1.0276*1.0091*1.0182*1.0155</f>
        <v>-1363.8243291541087</v>
      </c>
      <c r="AM15" s="60">
        <f>-551*1.0276*1.0091*1.0182*1.0155</f>
        <v>-590.7761048458442</v>
      </c>
      <c r="AN15" s="60"/>
      <c r="AO15" s="60"/>
      <c r="AP15" s="255">
        <v>913.33333333333337</v>
      </c>
      <c r="AQ15" s="261">
        <v>650</v>
      </c>
      <c r="AR15" s="262">
        <f t="shared" si="7"/>
        <v>668.48699891701347</v>
      </c>
      <c r="AT15" s="21" t="e">
        <f>(J15+#REF!)/($J$31+#REF!)</f>
        <v>#REF!</v>
      </c>
      <c r="AU15" s="14" t="e">
        <f t="shared" si="8"/>
        <v>#REF!</v>
      </c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72"/>
      <c r="BG15" s="46"/>
      <c r="BH15" s="46"/>
      <c r="BI15" s="46"/>
      <c r="BJ15" s="46"/>
      <c r="BK15" s="65"/>
      <c r="BL15" s="127">
        <v>1.9408702580324746E-2</v>
      </c>
      <c r="BM15" s="127">
        <v>2.0902415113363795E-2</v>
      </c>
      <c r="BN15" s="127">
        <v>2.7586206896551724E-2</v>
      </c>
      <c r="BO15" s="128">
        <v>1.7083418914716986E-2</v>
      </c>
      <c r="BP15" s="127">
        <v>1.7529681003776502E-2</v>
      </c>
      <c r="BQ15" s="127">
        <v>3.1662725933623279E-2</v>
      </c>
      <c r="BR15" s="127">
        <v>4.1300000000000003E-2</v>
      </c>
      <c r="BS15" s="127">
        <v>3.6533333333333334E-2</v>
      </c>
      <c r="BT15" s="82"/>
      <c r="BU15" s="82"/>
      <c r="BV15" s="82"/>
      <c r="BW15" s="82"/>
      <c r="BX15" s="83">
        <f t="shared" si="9"/>
        <v>20488.964406198204</v>
      </c>
      <c r="BY15" s="83">
        <f t="shared" si="0"/>
        <v>3261.9030773126947</v>
      </c>
      <c r="BZ15" s="83">
        <f t="shared" si="1"/>
        <v>3292.0089259877359</v>
      </c>
      <c r="CA15" s="83">
        <f t="shared" si="2"/>
        <v>0</v>
      </c>
      <c r="CB15" s="83">
        <f t="shared" si="3"/>
        <v>1448.245491655108</v>
      </c>
      <c r="CC15" s="83">
        <f t="shared" si="4"/>
        <v>7556.9632886078625</v>
      </c>
      <c r="CD15" s="83">
        <f t="shared" si="10"/>
        <v>6065.9062933161722</v>
      </c>
      <c r="CE15" s="83">
        <f t="shared" si="11"/>
        <v>1341.4514320973617</v>
      </c>
      <c r="CF15" s="84">
        <f t="shared" si="12"/>
        <v>43455.442915175132</v>
      </c>
      <c r="CH15" s="15">
        <f t="shared" si="5"/>
        <v>0</v>
      </c>
      <c r="CI15" s="5" t="e">
        <f>-#REF!</f>
        <v>#REF!</v>
      </c>
      <c r="CK15" s="4">
        <v>32000</v>
      </c>
      <c r="CL15" s="5" t="e">
        <f t="shared" si="13"/>
        <v>#REF!</v>
      </c>
      <c r="CM15" s="35" t="e">
        <f t="shared" si="14"/>
        <v>#REF!</v>
      </c>
      <c r="CN15" s="22" t="e">
        <f t="shared" si="6"/>
        <v>#REF!</v>
      </c>
      <c r="CR15" s="93" t="s">
        <v>1</v>
      </c>
      <c r="CS15" s="266">
        <f t="shared" si="15"/>
        <v>668.48699891701347</v>
      </c>
      <c r="CT15" s="96"/>
      <c r="CU15" s="96">
        <f t="shared" si="16"/>
        <v>36700</v>
      </c>
      <c r="CV15" s="96">
        <f t="shared" si="19"/>
        <v>43455.442915175132</v>
      </c>
      <c r="CW15" s="96"/>
      <c r="CX15" s="267">
        <f>SUM(CS15:CV15)</f>
        <v>80823.92991409215</v>
      </c>
      <c r="CY15" s="123">
        <f t="shared" si="18"/>
        <v>2.9399521567728064E-2</v>
      </c>
      <c r="CZ15" s="110"/>
      <c r="DA15" s="96"/>
      <c r="DB15" s="96">
        <v>3207</v>
      </c>
      <c r="DC15" s="175"/>
      <c r="DD15" s="150"/>
      <c r="DE15" s="150"/>
      <c r="DF15" s="194"/>
      <c r="DG15" s="195"/>
      <c r="DH15" s="196"/>
      <c r="DI15" s="165"/>
      <c r="DJ15" s="5"/>
      <c r="DL15" s="149"/>
      <c r="DM15" s="149"/>
      <c r="DN15" s="48"/>
      <c r="DO15" s="149"/>
      <c r="DP15" s="150"/>
      <c r="DQ15" s="150"/>
      <c r="DR15" s="150"/>
      <c r="DS15" s="150"/>
      <c r="DT15" s="112"/>
      <c r="DU15" s="111"/>
      <c r="DV15" s="113"/>
      <c r="DW15" s="98"/>
      <c r="DX15" s="48"/>
      <c r="DY15" s="5"/>
      <c r="DZ15" s="132"/>
      <c r="EA15" s="5"/>
      <c r="EB15" s="5"/>
      <c r="EC15" s="42"/>
      <c r="ED15" s="5"/>
      <c r="EF15" s="5"/>
      <c r="EG15" s="5"/>
      <c r="EH15" s="5"/>
      <c r="EI15" s="5"/>
      <c r="EK15" s="5"/>
      <c r="EL15" s="42"/>
      <c r="EP15" s="42"/>
      <c r="EQ15" s="42"/>
      <c r="ER15" s="42"/>
      <c r="EV15" s="42"/>
      <c r="EW15" s="5"/>
      <c r="EY15" s="32"/>
    </row>
    <row r="16" spans="1:155" ht="16.5" thickBot="1" x14ac:dyDescent="0.3">
      <c r="A16" s="163" t="s">
        <v>117</v>
      </c>
      <c r="B16" s="182"/>
      <c r="C16" s="183">
        <f>C13*D16</f>
        <v>1835928.0548777757</v>
      </c>
      <c r="D16" s="184">
        <v>1</v>
      </c>
      <c r="E16" s="185"/>
      <c r="F16" s="4"/>
      <c r="H16" s="3" t="s">
        <v>21</v>
      </c>
      <c r="I16" s="3" t="s">
        <v>3</v>
      </c>
      <c r="J16" s="42"/>
      <c r="K16" s="7"/>
      <c r="L16" s="242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>
        <v>-280</v>
      </c>
      <c r="Y16" s="60">
        <v>-334</v>
      </c>
      <c r="Z16" s="60"/>
      <c r="AA16" s="60">
        <v>-966.66607633016895</v>
      </c>
      <c r="AB16" s="60"/>
      <c r="AC16" s="60"/>
      <c r="AD16" s="60"/>
      <c r="AE16" s="60">
        <f>-257*1.006*1.0089*1.0057*1.0276*1.0091*1.0182*1.0155</f>
        <v>-281.26714080320045</v>
      </c>
      <c r="AF16" s="60"/>
      <c r="AG16" s="60"/>
      <c r="AH16" s="60"/>
      <c r="AI16" s="60"/>
      <c r="AJ16" s="56"/>
      <c r="AK16" s="60">
        <f>1680*1.0276*1.0091*1.0182*1.0155</f>
        <v>1801.2774158639168</v>
      </c>
      <c r="AL16" s="60">
        <f>1272*1.0276*1.0091*1.0182*1.0155</f>
        <v>1363.8243291541087</v>
      </c>
      <c r="AM16" s="60">
        <f>-574*1.0276*1.0091*1.0182*1.0155</f>
        <v>-615.4364504201717</v>
      </c>
      <c r="AN16" s="60"/>
      <c r="AO16" s="60"/>
      <c r="AP16" s="255">
        <v>1192.5</v>
      </c>
      <c r="AQ16" s="261">
        <v>650</v>
      </c>
      <c r="AR16" s="262">
        <f t="shared" si="7"/>
        <v>2530.2320774644845</v>
      </c>
      <c r="AT16" s="21" t="e">
        <f>(J16+#REF!)/($J$31+#REF!)</f>
        <v>#REF!</v>
      </c>
      <c r="AU16" s="14" t="e">
        <f t="shared" si="8"/>
        <v>#REF!</v>
      </c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72"/>
      <c r="BG16" s="46"/>
      <c r="BH16" s="46"/>
      <c r="BI16" s="46"/>
      <c r="BJ16" s="46"/>
      <c r="BK16" s="65"/>
      <c r="BL16" s="127">
        <v>2.4191790999323098E-2</v>
      </c>
      <c r="BM16" s="127">
        <v>2.6144864952665672E-2</v>
      </c>
      <c r="BN16" s="127">
        <v>4.1379310344827586E-2</v>
      </c>
      <c r="BO16" s="128">
        <v>3.1567035798027852E-2</v>
      </c>
      <c r="BP16" s="127">
        <v>3.893318699860495E-2</v>
      </c>
      <c r="BQ16" s="127">
        <v>4.5461235472312123E-2</v>
      </c>
      <c r="BR16" s="127">
        <v>5.9799999999999999E-2</v>
      </c>
      <c r="BS16" s="127">
        <v>4.7699999999999999E-2</v>
      </c>
      <c r="BT16" s="82"/>
      <c r="BU16" s="82"/>
      <c r="BV16" s="82"/>
      <c r="BW16" s="82"/>
      <c r="BX16" s="83">
        <f t="shared" si="9"/>
        <v>25538.272981203238</v>
      </c>
      <c r="BY16" s="83">
        <f t="shared" si="0"/>
        <v>4080.007739895118</v>
      </c>
      <c r="BZ16" s="83">
        <f t="shared" si="1"/>
        <v>4938.0133889816034</v>
      </c>
      <c r="CA16" s="83">
        <f t="shared" si="2"/>
        <v>0</v>
      </c>
      <c r="CB16" s="83">
        <f t="shared" si="3"/>
        <v>3216.5338624443675</v>
      </c>
      <c r="CC16" s="83">
        <f t="shared" si="4"/>
        <v>10850.26248969293</v>
      </c>
      <c r="CD16" s="83">
        <f t="shared" si="10"/>
        <v>8783.0798145352801</v>
      </c>
      <c r="CE16" s="83">
        <f t="shared" si="11"/>
        <v>1751.4753643533982</v>
      </c>
      <c r="CF16" s="84">
        <f t="shared" si="12"/>
        <v>59157.645641105933</v>
      </c>
      <c r="CH16" s="15">
        <f t="shared" si="5"/>
        <v>0</v>
      </c>
      <c r="CI16" s="5" t="e">
        <f>-#REF!</f>
        <v>#REF!</v>
      </c>
      <c r="CK16" s="4">
        <v>32000</v>
      </c>
      <c r="CL16" s="5" t="e">
        <f t="shared" si="13"/>
        <v>#REF!</v>
      </c>
      <c r="CM16" s="35" t="e">
        <f t="shared" si="14"/>
        <v>#REF!</v>
      </c>
      <c r="CN16" s="22" t="e">
        <f t="shared" si="6"/>
        <v>#REF!</v>
      </c>
      <c r="CR16" s="93" t="s">
        <v>3</v>
      </c>
      <c r="CS16" s="266">
        <f t="shared" si="15"/>
        <v>2530.2320774644845</v>
      </c>
      <c r="CT16" s="96"/>
      <c r="CU16" s="96">
        <f t="shared" si="16"/>
        <v>36700</v>
      </c>
      <c r="CV16" s="96">
        <f t="shared" si="19"/>
        <v>59157.645641105933</v>
      </c>
      <c r="CW16" s="96"/>
      <c r="CX16" s="267">
        <f t="shared" si="17"/>
        <v>98387.877718570409</v>
      </c>
      <c r="CY16" s="123">
        <f t="shared" si="18"/>
        <v>3.5788367827011183E-2</v>
      </c>
      <c r="CZ16" s="110"/>
      <c r="DA16" s="96"/>
      <c r="DB16" s="96">
        <v>3910</v>
      </c>
      <c r="DC16" s="175"/>
      <c r="DD16" s="150"/>
      <c r="DE16" s="150"/>
      <c r="DF16" s="194"/>
      <c r="DG16" s="195"/>
      <c r="DH16" s="196"/>
      <c r="DI16" s="165"/>
      <c r="DJ16" s="5"/>
      <c r="DL16" s="149"/>
      <c r="DM16" s="149"/>
      <c r="DN16" s="48"/>
      <c r="DO16" s="149"/>
      <c r="DP16" s="150"/>
      <c r="DQ16" s="150"/>
      <c r="DR16" s="150"/>
      <c r="DS16" s="150"/>
      <c r="DT16" s="112"/>
      <c r="DU16" s="111"/>
      <c r="DV16" s="113"/>
      <c r="DW16" s="98"/>
      <c r="DX16" s="48"/>
      <c r="DY16" s="5"/>
      <c r="DZ16" s="131"/>
      <c r="EA16" s="5"/>
      <c r="EB16" s="5"/>
      <c r="EC16" s="42"/>
      <c r="ED16" s="5"/>
      <c r="EF16" s="5"/>
      <c r="EG16" s="5"/>
      <c r="EH16" s="5"/>
      <c r="EI16" s="5"/>
      <c r="EK16" s="5"/>
      <c r="EL16" s="42"/>
      <c r="EP16" s="42"/>
      <c r="EQ16" s="42"/>
      <c r="ER16" s="42"/>
      <c r="EV16" s="42"/>
      <c r="EW16" s="5"/>
      <c r="EY16" s="32"/>
    </row>
    <row r="17" spans="1:155" x14ac:dyDescent="0.25">
      <c r="A17" s="4"/>
      <c r="B17" s="4"/>
      <c r="C17" s="4"/>
      <c r="D17" s="4"/>
      <c r="E17" s="4"/>
      <c r="F17" s="4"/>
      <c r="H17" s="3" t="s">
        <v>22</v>
      </c>
      <c r="I17" s="3" t="s">
        <v>7</v>
      </c>
      <c r="J17" s="42"/>
      <c r="K17" s="7"/>
      <c r="L17" s="242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>
        <v>-280</v>
      </c>
      <c r="Y17" s="60">
        <v>-334</v>
      </c>
      <c r="Z17" s="60"/>
      <c r="AA17" s="60">
        <v>-309.18979594799498</v>
      </c>
      <c r="AB17" s="60"/>
      <c r="AC17" s="60"/>
      <c r="AD17" s="60"/>
      <c r="AE17" s="60">
        <f>-128*1.006*1.0089*1.0057*1.0276*1.0091*1.0182*1.0155</f>
        <v>-140.08635806540721</v>
      </c>
      <c r="AF17" s="60"/>
      <c r="AG17" s="60"/>
      <c r="AH17" s="60"/>
      <c r="AI17" s="60"/>
      <c r="AJ17" s="56">
        <v>1500</v>
      </c>
      <c r="AK17" s="60">
        <f>840*1.0276*1.0091*1.0182*1.0155</f>
        <v>900.63870793195838</v>
      </c>
      <c r="AL17" s="60">
        <f>-872*1.0276*1.0091*1.0182*1.0155</f>
        <v>-934.94875394841404</v>
      </c>
      <c r="AM17" s="60">
        <f>-352*1.0276*1.0091*1.0182*1.0155</f>
        <v>-377.41050618101121</v>
      </c>
      <c r="AN17" s="60"/>
      <c r="AO17" s="60"/>
      <c r="AP17" s="255">
        <v>542.5</v>
      </c>
      <c r="AQ17" s="261">
        <v>650</v>
      </c>
      <c r="AR17" s="262">
        <f t="shared" si="7"/>
        <v>1217.503293789131</v>
      </c>
      <c r="AT17" s="21" t="e">
        <f>(J17+#REF!)/($J$31+#REF!)</f>
        <v>#REF!</v>
      </c>
      <c r="AU17" s="14" t="e">
        <f t="shared" si="8"/>
        <v>#REF!</v>
      </c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72"/>
      <c r="BG17" s="46"/>
      <c r="BH17" s="46"/>
      <c r="BI17" s="46"/>
      <c r="BJ17" s="46"/>
      <c r="BK17" s="65"/>
      <c r="BL17" s="127">
        <v>5.8774059451728823E-3</v>
      </c>
      <c r="BM17" s="127">
        <v>7.0999053872018349E-3</v>
      </c>
      <c r="BN17" s="127">
        <v>3.4482758620689655E-3</v>
      </c>
      <c r="BO17" s="128">
        <v>2.3554233246670563E-2</v>
      </c>
      <c r="BP17" s="127">
        <v>2.245294174722845E-2</v>
      </c>
      <c r="BQ17" s="127">
        <v>1.894466035041149E-2</v>
      </c>
      <c r="BR17" s="127">
        <v>2.7400000000000001E-2</v>
      </c>
      <c r="BS17" s="127">
        <v>2.1700000000000001E-2</v>
      </c>
      <c r="BT17" s="82"/>
      <c r="BU17" s="82"/>
      <c r="BV17" s="82"/>
      <c r="BW17" s="82"/>
      <c r="BX17" s="83">
        <f t="shared" si="9"/>
        <v>6204.5343171727864</v>
      </c>
      <c r="BY17" s="83">
        <f t="shared" si="0"/>
        <v>1107.9678164240452</v>
      </c>
      <c r="BZ17" s="83">
        <f t="shared" si="1"/>
        <v>411.50111574846699</v>
      </c>
      <c r="CA17" s="83">
        <f t="shared" si="2"/>
        <v>0</v>
      </c>
      <c r="CB17" s="83">
        <f t="shared" si="3"/>
        <v>1854.9893550722911</v>
      </c>
      <c r="CC17" s="83">
        <f t="shared" si="4"/>
        <v>4521.5343455686416</v>
      </c>
      <c r="CD17" s="83">
        <f t="shared" si="10"/>
        <v>4024.3542962920847</v>
      </c>
      <c r="CE17" s="83">
        <f t="shared" si="11"/>
        <v>796.79277581695476</v>
      </c>
      <c r="CF17" s="84">
        <f t="shared" si="12"/>
        <v>18921.674022095271</v>
      </c>
      <c r="CH17" s="15">
        <f t="shared" si="5"/>
        <v>0</v>
      </c>
      <c r="CI17" s="5" t="e">
        <f>-#REF!</f>
        <v>#REF!</v>
      </c>
      <c r="CK17" s="4">
        <v>32000</v>
      </c>
      <c r="CL17" s="5" t="e">
        <f t="shared" si="13"/>
        <v>#REF!</v>
      </c>
      <c r="CM17" s="35" t="e">
        <f t="shared" si="14"/>
        <v>#REF!</v>
      </c>
      <c r="CN17" s="22" t="e">
        <f t="shared" si="6"/>
        <v>#REF!</v>
      </c>
      <c r="CR17" s="93" t="s">
        <v>7</v>
      </c>
      <c r="CS17" s="266">
        <f t="shared" si="15"/>
        <v>1217.503293789131</v>
      </c>
      <c r="CT17" s="96"/>
      <c r="CU17" s="96">
        <f t="shared" si="16"/>
        <v>36700</v>
      </c>
      <c r="CV17" s="96">
        <f t="shared" si="19"/>
        <v>18921.674022095271</v>
      </c>
      <c r="CW17" s="96"/>
      <c r="CX17" s="267">
        <f>SUM(CS17:CV17)</f>
        <v>56839.177315884401</v>
      </c>
      <c r="CY17" s="123">
        <f t="shared" si="18"/>
        <v>2.0675122097705698E-2</v>
      </c>
      <c r="CZ17" s="110"/>
      <c r="DA17" s="96"/>
      <c r="DB17" s="96">
        <v>2248</v>
      </c>
      <c r="DC17" s="175"/>
      <c r="DD17" s="150"/>
      <c r="DE17" s="150"/>
      <c r="DF17" s="194"/>
      <c r="DG17" s="195"/>
      <c r="DH17" s="196"/>
      <c r="DI17" s="165"/>
      <c r="DJ17" s="5"/>
      <c r="DL17" s="149"/>
      <c r="DM17" s="149"/>
      <c r="DN17" s="48"/>
      <c r="DO17" s="149"/>
      <c r="DP17" s="150"/>
      <c r="DQ17" s="150"/>
      <c r="DR17" s="150"/>
      <c r="DS17" s="150"/>
      <c r="DT17" s="112"/>
      <c r="DU17" s="111"/>
      <c r="DV17" s="113"/>
      <c r="DW17" s="98"/>
      <c r="DX17" s="48"/>
      <c r="DY17" s="5"/>
      <c r="DZ17" s="131"/>
      <c r="EA17" s="5"/>
      <c r="EB17" s="5"/>
      <c r="EC17" s="42"/>
      <c r="ED17" s="5"/>
      <c r="EF17" s="5"/>
      <c r="EG17" s="5"/>
      <c r="EH17" s="5"/>
      <c r="EI17" s="5"/>
      <c r="EK17" s="5"/>
      <c r="EL17" s="42"/>
      <c r="EP17" s="42"/>
      <c r="EQ17" s="42"/>
      <c r="ER17" s="42"/>
      <c r="EV17" s="42"/>
      <c r="EW17" s="5"/>
      <c r="EY17" s="32"/>
    </row>
    <row r="18" spans="1:155" x14ac:dyDescent="0.25">
      <c r="A18" s="3" t="s">
        <v>167</v>
      </c>
      <c r="H18" s="3" t="s">
        <v>23</v>
      </c>
      <c r="I18" s="3" t="s">
        <v>4</v>
      </c>
      <c r="J18" s="42"/>
      <c r="K18" s="7"/>
      <c r="L18" s="242"/>
      <c r="M18" s="60"/>
      <c r="N18" s="60"/>
      <c r="O18" s="60"/>
      <c r="P18" s="60"/>
      <c r="Q18" s="60">
        <v>85</v>
      </c>
      <c r="R18" s="60"/>
      <c r="S18" s="60"/>
      <c r="T18" s="60"/>
      <c r="U18" s="60"/>
      <c r="V18" s="60"/>
      <c r="W18" s="60"/>
      <c r="X18" s="60"/>
      <c r="Y18" s="60"/>
      <c r="Z18" s="60"/>
      <c r="AA18" s="60">
        <v>-548.05826940328404</v>
      </c>
      <c r="AB18" s="60"/>
      <c r="AC18" s="60"/>
      <c r="AD18" s="60"/>
      <c r="AE18" s="60">
        <f>-76*1.006*1.0089*1.0057*1.0276*1.0091*1.0182*1.0155</f>
        <v>-83.176275101335548</v>
      </c>
      <c r="AF18" s="60"/>
      <c r="AG18" s="60"/>
      <c r="AH18" s="60">
        <f>-4648*1.006*1.0089*1.0057*1.0276*1.0091*1.0182*1.0155</f>
        <v>-5086.8858772500989</v>
      </c>
      <c r="AI18" s="60"/>
      <c r="AJ18" s="56">
        <v>1500</v>
      </c>
      <c r="AK18" s="60">
        <f>840*1.0276*1.0091*1.0182*1.0155</f>
        <v>900.63870793195838</v>
      </c>
      <c r="AL18" s="60">
        <f>-1610*1.0276*1.0091*1.0182*1.0155</f>
        <v>-1726.2241902029205</v>
      </c>
      <c r="AM18" s="60">
        <f>-363*1.0276*1.0091*1.0182*1.0155</f>
        <v>-389.20458449916771</v>
      </c>
      <c r="AN18" s="60"/>
      <c r="AO18" s="60"/>
      <c r="AP18" s="255">
        <v>633.33333333333337</v>
      </c>
      <c r="AQ18" s="261">
        <v>650</v>
      </c>
      <c r="AR18" s="262">
        <f t="shared" si="7"/>
        <v>-4064.5771551915159</v>
      </c>
      <c r="AT18" s="21" t="e">
        <f>(J18+#REF!)/($J$31+#REF!)</f>
        <v>#REF!</v>
      </c>
      <c r="AU18" s="14" t="e">
        <f t="shared" si="8"/>
        <v>#REF!</v>
      </c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72"/>
      <c r="BG18" s="46"/>
      <c r="BH18" s="46"/>
      <c r="BI18" s="46"/>
      <c r="BJ18" s="46"/>
      <c r="BK18" s="65"/>
      <c r="BL18" s="127">
        <v>1.5842654219601869E-2</v>
      </c>
      <c r="BM18" s="127">
        <v>6.8434462749413696E-3</v>
      </c>
      <c r="BN18" s="127">
        <v>1.7241379310344827E-2</v>
      </c>
      <c r="BO18" s="128">
        <v>1.5384879115894487E-2</v>
      </c>
      <c r="BP18" s="127">
        <v>3.565912333420395E-2</v>
      </c>
      <c r="BQ18" s="127">
        <v>2.7272099989154724E-2</v>
      </c>
      <c r="BR18" s="127">
        <v>2.2499999999999999E-2</v>
      </c>
      <c r="BS18" s="127">
        <v>2.5333333333333333E-2</v>
      </c>
      <c r="BT18" s="82"/>
      <c r="BU18" s="82"/>
      <c r="BV18" s="82"/>
      <c r="BW18" s="82"/>
      <c r="BX18" s="83">
        <f t="shared" si="9"/>
        <v>16724.434673659533</v>
      </c>
      <c r="BY18" s="83">
        <f t="shared" si="0"/>
        <v>1067.946375698162</v>
      </c>
      <c r="BZ18" s="83">
        <f t="shared" si="1"/>
        <v>2057.5055787423348</v>
      </c>
      <c r="CA18" s="83">
        <f t="shared" si="2"/>
        <v>0</v>
      </c>
      <c r="CB18" s="83">
        <f t="shared" si="3"/>
        <v>2946.0413223725295</v>
      </c>
      <c r="CC18" s="83">
        <f t="shared" si="4"/>
        <v>6509.0497531177361</v>
      </c>
      <c r="CD18" s="83">
        <f t="shared" si="10"/>
        <v>3304.6704987799963</v>
      </c>
      <c r="CE18" s="83">
        <f t="shared" si="11"/>
        <v>930.20354780473974</v>
      </c>
      <c r="CF18" s="84">
        <f t="shared" si="12"/>
        <v>33539.851750175025</v>
      </c>
      <c r="CH18" s="15">
        <f t="shared" si="5"/>
        <v>0</v>
      </c>
      <c r="CI18" s="5" t="e">
        <f>-#REF!</f>
        <v>#REF!</v>
      </c>
      <c r="CK18" s="4">
        <v>32000</v>
      </c>
      <c r="CL18" s="5" t="e">
        <f t="shared" si="13"/>
        <v>#REF!</v>
      </c>
      <c r="CM18" s="35" t="e">
        <f t="shared" si="14"/>
        <v>#REF!</v>
      </c>
      <c r="CN18" s="22" t="e">
        <f t="shared" si="6"/>
        <v>#REF!</v>
      </c>
      <c r="CR18" s="93" t="s">
        <v>4</v>
      </c>
      <c r="CS18" s="266">
        <f t="shared" si="15"/>
        <v>-4064.5771551915159</v>
      </c>
      <c r="CT18" s="96"/>
      <c r="CU18" s="96">
        <f t="shared" si="16"/>
        <v>36700</v>
      </c>
      <c r="CV18" s="96">
        <f t="shared" si="19"/>
        <v>33539.851750175025</v>
      </c>
      <c r="CW18" s="96"/>
      <c r="CX18" s="267">
        <f>SUM(CS18:CV18)</f>
        <v>66175.274594983508</v>
      </c>
      <c r="CY18" s="123">
        <f t="shared" si="18"/>
        <v>2.407110635146598E-2</v>
      </c>
      <c r="CZ18" s="110"/>
      <c r="DA18" s="96"/>
      <c r="DB18" s="96">
        <v>2621</v>
      </c>
      <c r="DC18" s="175"/>
      <c r="DD18" s="150"/>
      <c r="DE18" s="150"/>
      <c r="DF18" s="194"/>
      <c r="DG18" s="195"/>
      <c r="DH18" s="196"/>
      <c r="DI18" s="165"/>
      <c r="DJ18" s="5"/>
      <c r="DL18" s="149"/>
      <c r="DM18" s="149"/>
      <c r="DN18" s="48"/>
      <c r="DO18" s="149"/>
      <c r="DP18" s="150"/>
      <c r="DQ18" s="150"/>
      <c r="DR18" s="150"/>
      <c r="DS18" s="150"/>
      <c r="DT18" s="112"/>
      <c r="DU18" s="111"/>
      <c r="DV18" s="113"/>
      <c r="DW18" s="98"/>
      <c r="DX18" s="48"/>
      <c r="DY18" s="5"/>
      <c r="DZ18" s="131"/>
      <c r="EA18" s="5"/>
      <c r="EB18" s="5"/>
      <c r="EC18" s="42"/>
      <c r="ED18" s="5"/>
      <c r="EF18" s="5"/>
      <c r="EG18" s="5"/>
      <c r="EH18" s="5"/>
      <c r="EI18" s="5"/>
      <c r="EK18" s="5"/>
      <c r="EL18" s="42"/>
      <c r="EP18" s="42"/>
      <c r="EQ18" s="42"/>
      <c r="ER18" s="42"/>
      <c r="EV18" s="42"/>
      <c r="EW18" s="5"/>
      <c r="EY18" s="32"/>
    </row>
    <row r="19" spans="1:155" x14ac:dyDescent="0.25">
      <c r="A19" s="3" t="s">
        <v>168</v>
      </c>
      <c r="H19" s="3" t="s">
        <v>24</v>
      </c>
      <c r="I19" s="3" t="s">
        <v>5</v>
      </c>
      <c r="J19" s="42"/>
      <c r="K19" s="7"/>
      <c r="L19" s="242"/>
      <c r="M19" s="60"/>
      <c r="N19" s="60">
        <v>0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>
        <v>-3336.3097287261198</v>
      </c>
      <c r="AB19" s="60"/>
      <c r="AC19" s="60">
        <f>2280*1.0057*1.0276*1.0091*1.0182*1.0155</f>
        <v>2458.524946110892</v>
      </c>
      <c r="AD19" s="60"/>
      <c r="AE19" s="60">
        <f>339*1.006*1.0089*1.0057*1.0276*1.0091*1.0182*1.0155</f>
        <v>371.00996393885197</v>
      </c>
      <c r="AF19" s="60"/>
      <c r="AG19" s="60"/>
      <c r="AH19" s="60">
        <f>4648*1.006*1.0089*1.0057*1.0276*1.0091*1.0182*1.0155</f>
        <v>5086.8858772500989</v>
      </c>
      <c r="AI19" s="60">
        <f>1200*1.0057*1.0276*1.0091*1.0182*1.0155</f>
        <v>1293.9604979531009</v>
      </c>
      <c r="AJ19" s="56"/>
      <c r="AK19" s="60">
        <f>840*1.0276*1.0091*1.0182*1.0155</f>
        <v>900.63870793195838</v>
      </c>
      <c r="AL19" s="60">
        <f>1610*1.0276*1.0091*1.0182*1.0155</f>
        <v>1726.2241902029205</v>
      </c>
      <c r="AM19" s="60">
        <f>914*1.0276*1.0091*1.0182*1.0155</f>
        <v>979.98068934501191</v>
      </c>
      <c r="AN19" s="60"/>
      <c r="AO19" s="60"/>
      <c r="AP19" s="255">
        <v>3273.333333333333</v>
      </c>
      <c r="AQ19" s="261">
        <v>1100</v>
      </c>
      <c r="AR19" s="262">
        <f t="shared" si="7"/>
        <v>13854.248477340047</v>
      </c>
      <c r="AT19" s="21" t="e">
        <f>(J19+#REF!)/($J$31+#REF!)</f>
        <v>#REF!</v>
      </c>
      <c r="AU19" s="14" t="e">
        <f t="shared" si="8"/>
        <v>#REF!</v>
      </c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72"/>
      <c r="BG19" s="46"/>
      <c r="BH19" s="46"/>
      <c r="BI19" s="46"/>
      <c r="BJ19" s="46"/>
      <c r="BK19" s="65"/>
      <c r="BL19" s="127">
        <v>0.13220107478420906</v>
      </c>
      <c r="BM19" s="127">
        <v>2.5234956002078628E-2</v>
      </c>
      <c r="BN19" s="127">
        <v>0.11379310344827587</v>
      </c>
      <c r="BO19" s="128">
        <v>3.9832257577114394E-2</v>
      </c>
      <c r="BP19" s="127">
        <v>1.7570720390741867E-2</v>
      </c>
      <c r="BQ19" s="127">
        <v>9.4183340164505219E-2</v>
      </c>
      <c r="BR19" s="127">
        <v>0.125</v>
      </c>
      <c r="BS19" s="127">
        <v>0.13093333333333332</v>
      </c>
      <c r="BT19" s="82"/>
      <c r="BU19" s="82"/>
      <c r="BV19" s="82"/>
      <c r="BW19" s="82"/>
      <c r="BX19" s="83">
        <f t="shared" si="9"/>
        <v>139559.20569676146</v>
      </c>
      <c r="BY19" s="83">
        <f t="shared" si="0"/>
        <v>3938.0129134649105</v>
      </c>
      <c r="BZ19" s="83">
        <f t="shared" si="1"/>
        <v>13579.536819699411</v>
      </c>
      <c r="CA19" s="83">
        <f t="shared" si="2"/>
        <v>0</v>
      </c>
      <c r="CB19" s="83">
        <f t="shared" si="3"/>
        <v>1451.6360329399195</v>
      </c>
      <c r="CC19" s="83">
        <f t="shared" si="4"/>
        <v>22478.798746314555</v>
      </c>
      <c r="CD19" s="83">
        <f t="shared" si="10"/>
        <v>18359.280548777759</v>
      </c>
      <c r="CE19" s="83">
        <f t="shared" si="11"/>
        <v>4807.6835997066019</v>
      </c>
      <c r="CF19" s="84">
        <f t="shared" si="12"/>
        <v>204174.15435766464</v>
      </c>
      <c r="CH19" s="15">
        <f t="shared" si="5"/>
        <v>0</v>
      </c>
      <c r="CI19" s="5" t="e">
        <f>-#REF!</f>
        <v>#REF!</v>
      </c>
      <c r="CJ19" s="4">
        <v>3000</v>
      </c>
      <c r="CK19" s="4">
        <v>32000</v>
      </c>
      <c r="CL19" s="5" t="e">
        <f t="shared" si="13"/>
        <v>#REF!</v>
      </c>
      <c r="CM19" s="35" t="e">
        <f t="shared" si="14"/>
        <v>#REF!</v>
      </c>
      <c r="CN19" s="22" t="e">
        <f t="shared" si="6"/>
        <v>#REF!</v>
      </c>
      <c r="CR19" s="93" t="s">
        <v>5</v>
      </c>
      <c r="CS19" s="266">
        <f t="shared" si="15"/>
        <v>13854.248477340047</v>
      </c>
      <c r="CT19" s="96">
        <f>3000</f>
        <v>3000</v>
      </c>
      <c r="CU19" s="96">
        <f t="shared" si="16"/>
        <v>36700</v>
      </c>
      <c r="CV19" s="96">
        <f t="shared" si="19"/>
        <v>204174.15435766464</v>
      </c>
      <c r="CW19" s="96"/>
      <c r="CX19" s="267">
        <f t="shared" si="17"/>
        <v>257728.40283500467</v>
      </c>
      <c r="CY19" s="123">
        <f t="shared" si="18"/>
        <v>9.3748123183536439E-2</v>
      </c>
      <c r="CZ19" s="110"/>
      <c r="DA19" s="96"/>
      <c r="DB19" s="96">
        <v>10265</v>
      </c>
      <c r="DC19" s="175"/>
      <c r="DD19" s="150"/>
      <c r="DE19" s="150"/>
      <c r="DF19" s="194"/>
      <c r="DG19" s="195"/>
      <c r="DH19" s="196"/>
      <c r="DI19" s="165"/>
      <c r="DJ19" s="5"/>
      <c r="DL19" s="149"/>
      <c r="DM19" s="149"/>
      <c r="DN19" s="48"/>
      <c r="DO19" s="149"/>
      <c r="DP19" s="150"/>
      <c r="DQ19" s="150"/>
      <c r="DR19" s="150"/>
      <c r="DS19" s="150"/>
      <c r="DT19" s="112"/>
      <c r="DU19" s="111"/>
      <c r="DV19" s="113"/>
      <c r="DW19" s="98"/>
      <c r="DX19" s="48"/>
      <c r="DY19" s="5"/>
      <c r="DZ19" s="131"/>
      <c r="EA19" s="5"/>
      <c r="EB19" s="5"/>
      <c r="EC19" s="42"/>
      <c r="ED19" s="5"/>
      <c r="EF19" s="5"/>
      <c r="EG19" s="5"/>
      <c r="EH19" s="5"/>
      <c r="EI19" s="5"/>
      <c r="EK19" s="5"/>
      <c r="EL19" s="42"/>
      <c r="EP19" s="42"/>
      <c r="EQ19" s="42"/>
      <c r="ER19" s="42"/>
      <c r="EV19" s="42"/>
      <c r="EW19" s="5"/>
      <c r="EY19" s="32"/>
    </row>
    <row r="20" spans="1:155" x14ac:dyDescent="0.25">
      <c r="A20" s="3" t="s">
        <v>169</v>
      </c>
      <c r="H20" s="3" t="s">
        <v>25</v>
      </c>
      <c r="I20" s="3" t="s">
        <v>26</v>
      </c>
      <c r="J20" s="42"/>
      <c r="K20" s="7"/>
      <c r="L20" s="242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>
        <v>-928.16435192985</v>
      </c>
      <c r="AB20" s="60"/>
      <c r="AC20" s="60"/>
      <c r="AD20" s="60"/>
      <c r="AE20" s="60">
        <f>-203*1.006*1.0089*1.0057*1.0276*1.0091*1.0182*1.0155</f>
        <v>-222.16820849435675</v>
      </c>
      <c r="AF20" s="60"/>
      <c r="AG20" s="60"/>
      <c r="AH20" s="60"/>
      <c r="AI20" s="60"/>
      <c r="AJ20" s="56"/>
      <c r="AK20" s="60">
        <f>840*1.0276*1.0091*1.0182*1.0155</f>
        <v>900.63870793195838</v>
      </c>
      <c r="AL20" s="60"/>
      <c r="AM20" s="60">
        <f>-645*1.0276*1.0091*1.0182*1.0155</f>
        <v>-691.56186501918239</v>
      </c>
      <c r="AN20" s="60"/>
      <c r="AO20" s="60"/>
      <c r="AP20" s="255">
        <v>1299.1666666666667</v>
      </c>
      <c r="AQ20" s="261">
        <v>650</v>
      </c>
      <c r="AR20" s="262">
        <f t="shared" si="7"/>
        <v>1007.9109491552359</v>
      </c>
      <c r="AT20" s="21" t="e">
        <f>(J20+#REF!)/($J$31+#REF!)</f>
        <v>#REF!</v>
      </c>
      <c r="AU20" s="14" t="e">
        <f t="shared" si="8"/>
        <v>#REF!</v>
      </c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72"/>
      <c r="BG20" s="46"/>
      <c r="BH20" s="46"/>
      <c r="BI20" s="46"/>
      <c r="BJ20" s="46"/>
      <c r="BK20" s="65"/>
      <c r="BL20" s="127">
        <v>3.1870188316426913E-2</v>
      </c>
      <c r="BM20" s="127">
        <v>1.2711771610681148E-2</v>
      </c>
      <c r="BN20" s="127">
        <v>2.0689655172413793E-2</v>
      </c>
      <c r="BO20" s="128">
        <v>2.69264439203722E-2</v>
      </c>
      <c r="BP20" s="127">
        <v>8.5537807974949559E-3</v>
      </c>
      <c r="BQ20" s="127">
        <v>3.5414398513185584E-2</v>
      </c>
      <c r="BR20" s="127">
        <v>5.1999999999999998E-2</v>
      </c>
      <c r="BS20" s="127">
        <v>5.1966666666666668E-2</v>
      </c>
      <c r="BT20" s="82"/>
      <c r="BU20" s="82"/>
      <c r="BV20" s="82"/>
      <c r="BW20" s="82"/>
      <c r="BX20" s="83">
        <f t="shared" si="9"/>
        <v>33644.039385510492</v>
      </c>
      <c r="BY20" s="83">
        <f t="shared" si="0"/>
        <v>1983.7213408161117</v>
      </c>
      <c r="BZ20" s="83">
        <f t="shared" si="1"/>
        <v>2469.0066944908017</v>
      </c>
      <c r="CA20" s="83">
        <f t="shared" si="2"/>
        <v>0</v>
      </c>
      <c r="CB20" s="83">
        <f t="shared" si="3"/>
        <v>706.68567636281034</v>
      </c>
      <c r="CC20" s="83">
        <f t="shared" si="4"/>
        <v>8452.3774110072973</v>
      </c>
      <c r="CD20" s="83">
        <f t="shared" si="10"/>
        <v>7637.4607082915472</v>
      </c>
      <c r="CE20" s="83">
        <f t="shared" si="11"/>
        <v>1908.1412250363019</v>
      </c>
      <c r="CF20" s="84">
        <f t="shared" si="12"/>
        <v>56801.432441515361</v>
      </c>
      <c r="CH20" s="15">
        <f t="shared" si="5"/>
        <v>0</v>
      </c>
      <c r="CI20" s="5" t="e">
        <f>-#REF!</f>
        <v>#REF!</v>
      </c>
      <c r="CK20" s="4">
        <v>32000</v>
      </c>
      <c r="CL20" s="5" t="e">
        <f t="shared" si="13"/>
        <v>#REF!</v>
      </c>
      <c r="CM20" s="35" t="e">
        <f t="shared" si="14"/>
        <v>#REF!</v>
      </c>
      <c r="CN20" s="22" t="e">
        <f t="shared" si="6"/>
        <v>#REF!</v>
      </c>
      <c r="CR20" s="93" t="s">
        <v>26</v>
      </c>
      <c r="CS20" s="266">
        <f t="shared" si="15"/>
        <v>1007.9109491552359</v>
      </c>
      <c r="CT20" s="96"/>
      <c r="CU20" s="96">
        <f t="shared" si="16"/>
        <v>36700</v>
      </c>
      <c r="CV20" s="96">
        <f t="shared" si="19"/>
        <v>56801.432441515361</v>
      </c>
      <c r="CW20" s="96"/>
      <c r="CX20" s="267">
        <f t="shared" si="17"/>
        <v>94509.343390670605</v>
      </c>
      <c r="CY20" s="123">
        <f t="shared" si="18"/>
        <v>3.4377559743990926E-2</v>
      </c>
      <c r="CZ20" s="110"/>
      <c r="DA20" s="96"/>
      <c r="DB20" s="96">
        <v>3754</v>
      </c>
      <c r="DC20" s="175"/>
      <c r="DD20" s="150"/>
      <c r="DE20" s="150"/>
      <c r="DF20" s="194"/>
      <c r="DG20" s="195"/>
      <c r="DH20" s="196"/>
      <c r="DI20" s="165"/>
      <c r="DJ20" s="5"/>
      <c r="DL20" s="149"/>
      <c r="DM20" s="149"/>
      <c r="DN20" s="48"/>
      <c r="DO20" s="149"/>
      <c r="DP20" s="150"/>
      <c r="DQ20" s="150"/>
      <c r="DR20" s="150"/>
      <c r="DS20" s="150"/>
      <c r="DT20" s="112"/>
      <c r="DU20" s="111"/>
      <c r="DV20" s="113"/>
      <c r="DW20" s="98"/>
      <c r="DX20" s="48"/>
      <c r="DY20" s="5"/>
      <c r="DZ20" s="131"/>
      <c r="EA20" s="5"/>
      <c r="EB20" s="5"/>
      <c r="EC20" s="42"/>
      <c r="ED20" s="5"/>
      <c r="EF20" s="5"/>
      <c r="EG20" s="5"/>
      <c r="EH20" s="5"/>
      <c r="EI20" s="5"/>
      <c r="EK20" s="5"/>
      <c r="EL20" s="42"/>
      <c r="EP20" s="42"/>
      <c r="EQ20" s="42"/>
      <c r="ER20" s="42"/>
      <c r="EV20" s="42"/>
      <c r="EW20" s="5"/>
      <c r="EY20" s="32"/>
    </row>
    <row r="21" spans="1:155" x14ac:dyDescent="0.25">
      <c r="H21" s="3" t="s">
        <v>10</v>
      </c>
      <c r="I21" s="3" t="s">
        <v>27</v>
      </c>
      <c r="J21" s="42"/>
      <c r="K21" s="7"/>
      <c r="L21" s="242"/>
      <c r="M21" s="60">
        <f>814.086210542326*1.0362*1.006*1.0089*1.0057*1.0276*1.0091*1.0182*1.0155</f>
        <v>923.20864270719642</v>
      </c>
      <c r="N21" s="60">
        <v>0</v>
      </c>
      <c r="O21" s="60"/>
      <c r="P21" s="60">
        <f>90.3209006921074*1.0362*1.006*1.0089*1.0057*1.0276*1.0091*1.0182*1.0155</f>
        <v>102.42777123138188</v>
      </c>
      <c r="Q21" s="60"/>
      <c r="R21" s="60">
        <f>608.938616937415*1.0362*1.006*1.0089*1.0057*1.0276*1.0091*1.0182*1.0155</f>
        <v>690.56248190259646</v>
      </c>
      <c r="S21" s="60">
        <f>806.108818303748*1.0362*1.006*1.0089*1.0057*1.0276*1.0091*1.0182*1.0155</f>
        <v>914.16193811307949</v>
      </c>
      <c r="T21" s="60"/>
      <c r="U21" s="60"/>
      <c r="V21" s="60"/>
      <c r="W21" s="60"/>
      <c r="X21" s="60">
        <v>-1160</v>
      </c>
      <c r="Y21" s="60">
        <v>-482</v>
      </c>
      <c r="Z21" s="60"/>
      <c r="AA21" s="60">
        <v>-4528.5087849461897</v>
      </c>
      <c r="AB21" s="60"/>
      <c r="AC21" s="60">
        <f>2280*1.0057*1.0276*1.0091*1.0182*1.0155</f>
        <v>2458.524946110892</v>
      </c>
      <c r="AD21" s="60"/>
      <c r="AE21" s="60">
        <f>303*1.006*1.0089*1.0057*1.0276*1.0091*1.0182*1.0155</f>
        <v>331.61067573295611</v>
      </c>
      <c r="AF21" s="60"/>
      <c r="AG21" s="60"/>
      <c r="AH21" s="60"/>
      <c r="AI21" s="60">
        <f>1200*1.0057*1.0276*1.0091*1.0182*1.0155</f>
        <v>1293.9604979531009</v>
      </c>
      <c r="AJ21" s="56"/>
      <c r="AK21" s="60">
        <f>(1680+720)*1.0276*1.0091*1.0182*1.0155</f>
        <v>2573.2534512341672</v>
      </c>
      <c r="AL21" s="60"/>
      <c r="AM21" s="60">
        <f>645*1.0276*1.0091*1.0182*1.0155</f>
        <v>691.56186501918239</v>
      </c>
      <c r="AN21" s="60">
        <f>2030*1.0276*1.0091*1.0182*1.0155</f>
        <v>2176.5435441688996</v>
      </c>
      <c r="AO21" s="60"/>
      <c r="AP21" s="255">
        <v>4470.833333333333</v>
      </c>
      <c r="AQ21" s="261">
        <v>1100</v>
      </c>
      <c r="AR21" s="262">
        <f t="shared" si="7"/>
        <v>11556.140362560596</v>
      </c>
      <c r="AT21" s="21" t="e">
        <f>(J21+#REF!)/($J$31+#REF!)</f>
        <v>#REF!</v>
      </c>
      <c r="AU21" s="14" t="e">
        <f t="shared" si="8"/>
        <v>#REF!</v>
      </c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72"/>
      <c r="BG21" s="46"/>
      <c r="BH21" s="46"/>
      <c r="BI21" s="46"/>
      <c r="BJ21" s="46"/>
      <c r="BK21" s="65"/>
      <c r="BL21" s="127">
        <v>0.16742325242734235</v>
      </c>
      <c r="BM21" s="127">
        <v>6.4415568916747754E-2</v>
      </c>
      <c r="BN21" s="127">
        <v>0.16896551724137931</v>
      </c>
      <c r="BO21" s="128">
        <v>7.2167687816114462E-2</v>
      </c>
      <c r="BP21" s="127">
        <v>6.8535776232156287E-2</v>
      </c>
      <c r="BQ21" s="127">
        <v>0.12150049315454477</v>
      </c>
      <c r="BR21" s="127">
        <v>0.1971</v>
      </c>
      <c r="BS21" s="127">
        <v>0.17883333333333332</v>
      </c>
      <c r="BT21" s="82"/>
      <c r="BU21" s="82"/>
      <c r="BV21" s="82"/>
      <c r="BW21" s="82"/>
      <c r="BX21" s="83">
        <f t="shared" si="9"/>
        <v>176741.80154788884</v>
      </c>
      <c r="BY21" s="83">
        <f t="shared" si="0"/>
        <v>10052.299762339453</v>
      </c>
      <c r="BZ21" s="83">
        <f t="shared" si="1"/>
        <v>20163.554671674883</v>
      </c>
      <c r="CA21" s="83">
        <f t="shared" si="2"/>
        <v>0</v>
      </c>
      <c r="CB21" s="83">
        <f t="shared" si="3"/>
        <v>5662.2039456348539</v>
      </c>
      <c r="CC21" s="83">
        <f t="shared" si="4"/>
        <v>28998.601328308807</v>
      </c>
      <c r="CD21" s="83">
        <f t="shared" si="10"/>
        <v>28948.913569312768</v>
      </c>
      <c r="CE21" s="83">
        <f t="shared" si="11"/>
        <v>6566.5026762795114</v>
      </c>
      <c r="CF21" s="84">
        <f t="shared" si="12"/>
        <v>277133.87750143913</v>
      </c>
      <c r="CH21" s="15">
        <f t="shared" si="5"/>
        <v>0</v>
      </c>
      <c r="CI21" s="5" t="e">
        <f>-#REF!</f>
        <v>#REF!</v>
      </c>
      <c r="CJ21" s="4">
        <v>15000</v>
      </c>
      <c r="CK21" s="4">
        <v>32000</v>
      </c>
      <c r="CL21" s="5" t="e">
        <f t="shared" si="13"/>
        <v>#REF!</v>
      </c>
      <c r="CM21" s="35" t="e">
        <f t="shared" si="14"/>
        <v>#REF!</v>
      </c>
      <c r="CN21" s="22" t="e">
        <f t="shared" si="6"/>
        <v>#REF!</v>
      </c>
      <c r="CR21" s="93" t="s">
        <v>27</v>
      </c>
      <c r="CS21" s="266">
        <f t="shared" si="15"/>
        <v>11556.140362560596</v>
      </c>
      <c r="CT21" s="96">
        <f>15000</f>
        <v>15000</v>
      </c>
      <c r="CU21" s="96">
        <f t="shared" si="16"/>
        <v>36700</v>
      </c>
      <c r="CV21" s="96">
        <f t="shared" si="19"/>
        <v>277133.87750143913</v>
      </c>
      <c r="CW21" s="96"/>
      <c r="CX21" s="267">
        <f>SUM(CS21:CV21)</f>
        <v>340390.0178639997</v>
      </c>
      <c r="CY21" s="123">
        <f t="shared" si="18"/>
        <v>0.12381609855235665</v>
      </c>
      <c r="CZ21" s="110"/>
      <c r="DA21" s="96"/>
      <c r="DB21" s="96">
        <v>13572</v>
      </c>
      <c r="DC21" s="175"/>
      <c r="DD21" s="150"/>
      <c r="DE21" s="150"/>
      <c r="DF21" s="194"/>
      <c r="DG21" s="195"/>
      <c r="DH21" s="196"/>
      <c r="DI21" s="165"/>
      <c r="DJ21" s="5"/>
      <c r="DL21" s="149"/>
      <c r="DM21" s="149"/>
      <c r="DN21" s="48"/>
      <c r="DO21" s="149"/>
      <c r="DP21" s="150"/>
      <c r="DQ21" s="150"/>
      <c r="DR21" s="150"/>
      <c r="DS21" s="150"/>
      <c r="DT21" s="112"/>
      <c r="DU21" s="111"/>
      <c r="DV21" s="113"/>
      <c r="DW21" s="98"/>
      <c r="DX21" s="48"/>
      <c r="DY21" s="5"/>
      <c r="DZ21" s="131"/>
      <c r="EA21" s="5"/>
      <c r="EB21" s="5"/>
      <c r="EC21" s="42"/>
      <c r="ED21" s="5"/>
      <c r="EF21" s="5"/>
      <c r="EG21" s="5"/>
      <c r="EH21" s="5"/>
      <c r="EI21" s="5"/>
      <c r="EK21" s="5"/>
      <c r="EL21" s="42"/>
      <c r="EP21" s="42"/>
      <c r="EQ21" s="42"/>
      <c r="ER21" s="42"/>
      <c r="EV21" s="42"/>
      <c r="EW21" s="5"/>
      <c r="EY21" s="32"/>
    </row>
    <row r="22" spans="1:155" x14ac:dyDescent="0.25">
      <c r="A22" s="3" t="s">
        <v>178</v>
      </c>
      <c r="B22" s="3">
        <v>36700</v>
      </c>
      <c r="H22" s="3" t="s">
        <v>28</v>
      </c>
      <c r="I22" s="3" t="s">
        <v>29</v>
      </c>
      <c r="J22" s="42"/>
      <c r="K22" s="6"/>
      <c r="L22" s="242"/>
      <c r="M22" s="60"/>
      <c r="N22" s="60"/>
      <c r="O22" s="60"/>
      <c r="P22" s="60">
        <f>184.842773509429*1.0362*1.006*1.0089*1.0057*1.0276*1.0091*1.0182*1.0155</f>
        <v>209.61962484561863</v>
      </c>
      <c r="Q22" s="60"/>
      <c r="R22" s="60"/>
      <c r="S22" s="60">
        <f>1083.20872459566*1.0362*1.006*1.0089*1.0057*1.0276*1.0091*1.0182*1.0155</f>
        <v>1228.4051043394493</v>
      </c>
      <c r="T22" s="60"/>
      <c r="U22" s="60"/>
      <c r="V22" s="60"/>
      <c r="W22" s="60"/>
      <c r="X22" s="60"/>
      <c r="Y22" s="60"/>
      <c r="Z22" s="60"/>
      <c r="AA22" s="60">
        <v>-1148.0965876023799</v>
      </c>
      <c r="AB22" s="60"/>
      <c r="AC22" s="60"/>
      <c r="AD22" s="60"/>
      <c r="AE22" s="60">
        <f>-649*1.006*1.0089*1.0057*1.0276*1.0091*1.0182*1.0155</f>
        <v>-710.2816123785102</v>
      </c>
      <c r="AF22" s="60"/>
      <c r="AG22" s="60"/>
      <c r="AH22" s="60"/>
      <c r="AI22" s="60"/>
      <c r="AJ22" s="56"/>
      <c r="AK22" s="60"/>
      <c r="AL22" s="60">
        <f>-1493*1.0276*1.0091*1.0182*1.0155</f>
        <v>-1600.7780844552547</v>
      </c>
      <c r="AM22" s="60">
        <f>-872*1.0276*1.0091*1.0182*1.0155</f>
        <v>-934.94875394841404</v>
      </c>
      <c r="AN22" s="60"/>
      <c r="AO22" s="60"/>
      <c r="AP22" s="255">
        <v>951.66666666666663</v>
      </c>
      <c r="AQ22" s="261">
        <v>650</v>
      </c>
      <c r="AR22" s="262">
        <f t="shared" si="7"/>
        <v>-1354.4136425328243</v>
      </c>
      <c r="AT22" s="21" t="e">
        <f>(J22+#REF!)/($J$31+#REF!)</f>
        <v>#REF!</v>
      </c>
      <c r="AU22" s="14" t="e">
        <f t="shared" si="8"/>
        <v>#REF!</v>
      </c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72"/>
      <c r="BG22" s="46"/>
      <c r="BH22" s="46"/>
      <c r="BI22" s="46"/>
      <c r="BJ22" s="46"/>
      <c r="BK22" s="65"/>
      <c r="BL22" s="127">
        <v>2.8201981212574723E-2</v>
      </c>
      <c r="BM22" s="127">
        <v>4.8594236111375873E-2</v>
      </c>
      <c r="BN22" s="127">
        <v>5.5172413793103448E-2</v>
      </c>
      <c r="BO22" s="128">
        <v>2.687122043915826E-2</v>
      </c>
      <c r="BP22" s="127">
        <v>6.7070083840536185E-2</v>
      </c>
      <c r="BQ22" s="127">
        <v>5.1981099876970277E-2</v>
      </c>
      <c r="BR22" s="127">
        <v>4.7500000000000001E-2</v>
      </c>
      <c r="BS22" s="127">
        <v>3.8066666666666665E-2</v>
      </c>
      <c r="BT22" s="82"/>
      <c r="BU22" s="82"/>
      <c r="BV22" s="82"/>
      <c r="BW22" s="82"/>
      <c r="BX22" s="83">
        <f t="shared" si="9"/>
        <v>29771.664893998583</v>
      </c>
      <c r="BY22" s="83">
        <f t="shared" si="0"/>
        <v>7583.3193174895232</v>
      </c>
      <c r="BZ22" s="83">
        <f t="shared" si="1"/>
        <v>6584.0178519754718</v>
      </c>
      <c r="CA22" s="83">
        <f t="shared" si="2"/>
        <v>0</v>
      </c>
      <c r="CB22" s="83">
        <f t="shared" si="3"/>
        <v>5541.1131854630221</v>
      </c>
      <c r="CC22" s="83">
        <f t="shared" si="4"/>
        <v>12406.362746379345</v>
      </c>
      <c r="CD22" s="83">
        <f t="shared" si="10"/>
        <v>6976.5266085355488</v>
      </c>
      <c r="CE22" s="83">
        <f t="shared" si="11"/>
        <v>1397.75322578028</v>
      </c>
      <c r="CF22" s="84">
        <f t="shared" si="12"/>
        <v>70260.757829621769</v>
      </c>
      <c r="CH22" s="15">
        <f t="shared" si="5"/>
        <v>0</v>
      </c>
      <c r="CI22" s="5" t="e">
        <f>-#REF!</f>
        <v>#REF!</v>
      </c>
      <c r="CK22" s="4">
        <v>32000</v>
      </c>
      <c r="CL22" s="5" t="e">
        <f t="shared" si="13"/>
        <v>#REF!</v>
      </c>
      <c r="CM22" s="35" t="e">
        <f t="shared" si="14"/>
        <v>#REF!</v>
      </c>
      <c r="CN22" s="22" t="e">
        <f t="shared" si="6"/>
        <v>#REF!</v>
      </c>
      <c r="CR22" s="93" t="s">
        <v>29</v>
      </c>
      <c r="CS22" s="266">
        <f t="shared" si="15"/>
        <v>-1354.4136425328243</v>
      </c>
      <c r="CT22" s="96"/>
      <c r="CU22" s="96">
        <f t="shared" si="16"/>
        <v>36700</v>
      </c>
      <c r="CV22" s="96">
        <f t="shared" si="19"/>
        <v>70260.757829621769</v>
      </c>
      <c r="CW22" s="96"/>
      <c r="CX22" s="267">
        <f>SUM(CS22:CV22)</f>
        <v>105606.34418708895</v>
      </c>
      <c r="CY22" s="123">
        <f t="shared" si="18"/>
        <v>3.8414068666511328E-2</v>
      </c>
      <c r="CZ22" s="110"/>
      <c r="DA22" s="96"/>
      <c r="DB22" s="96">
        <v>4198</v>
      </c>
      <c r="DC22" s="175"/>
      <c r="DD22" s="150"/>
      <c r="DE22" s="150"/>
      <c r="DF22" s="194"/>
      <c r="DG22" s="195"/>
      <c r="DH22" s="196"/>
      <c r="DI22" s="165"/>
      <c r="DJ22" s="5"/>
      <c r="DL22" s="149"/>
      <c r="DM22" s="149"/>
      <c r="DN22" s="48"/>
      <c r="DO22" s="149"/>
      <c r="DP22" s="150"/>
      <c r="DQ22" s="150"/>
      <c r="DR22" s="150"/>
      <c r="DS22" s="150"/>
      <c r="DT22" s="112"/>
      <c r="DU22" s="111"/>
      <c r="DV22" s="113"/>
      <c r="DW22" s="98"/>
      <c r="DX22" s="48"/>
      <c r="DY22" s="5"/>
      <c r="DZ22" s="132"/>
      <c r="EA22" s="5"/>
      <c r="EB22" s="5"/>
      <c r="EC22" s="42"/>
      <c r="ED22" s="5"/>
      <c r="EF22" s="5"/>
      <c r="EG22" s="5"/>
      <c r="EH22" s="5"/>
      <c r="EI22" s="5"/>
      <c r="EK22" s="5"/>
      <c r="EL22" s="42"/>
      <c r="EP22" s="42"/>
      <c r="EQ22" s="42"/>
      <c r="ER22" s="42"/>
      <c r="EV22" s="42"/>
      <c r="EW22" s="5"/>
      <c r="EY22" s="32"/>
    </row>
    <row r="23" spans="1:155" x14ac:dyDescent="0.25">
      <c r="H23" s="3" t="s">
        <v>30</v>
      </c>
      <c r="I23" s="3" t="s">
        <v>31</v>
      </c>
      <c r="J23" s="42"/>
      <c r="K23" s="6"/>
      <c r="L23" s="242"/>
      <c r="M23" s="60"/>
      <c r="N23" s="60"/>
      <c r="O23" s="60"/>
      <c r="P23" s="60">
        <f>96.6223588799288*1.0362*1.006*1.0089*1.0057*1.0276*1.0091*1.0182*1.0155</f>
        <v>109.57389480566425</v>
      </c>
      <c r="Q23" s="60"/>
      <c r="R23" s="60"/>
      <c r="S23" s="60">
        <f>1083.20872459566*1.0362*1.006*1.0089*1.0057*1.0276*1.0091*1.0182*1.0155</f>
        <v>1228.4051043394493</v>
      </c>
      <c r="T23" s="60"/>
      <c r="U23" s="60"/>
      <c r="V23" s="60"/>
      <c r="W23" s="60"/>
      <c r="X23" s="60"/>
      <c r="Y23" s="60"/>
      <c r="Z23" s="60"/>
      <c r="AA23" s="60">
        <v>-939.39073084859695</v>
      </c>
      <c r="AB23" s="60"/>
      <c r="AC23" s="60"/>
      <c r="AD23" s="60">
        <f>(700*1.006*1.0089*1.0057*1.0276*1.0091*1.0182*1.0155)+200*1.0155</f>
        <v>969.19727067019573</v>
      </c>
      <c r="AE23" s="60">
        <f>-147*1.006*1.0089*1.0057*1.0276*1.0091*1.0182*1.0155</f>
        <v>-160.88042684074111</v>
      </c>
      <c r="AF23" s="60"/>
      <c r="AG23" s="60"/>
      <c r="AH23" s="60"/>
      <c r="AI23" s="60"/>
      <c r="AJ23" s="56"/>
      <c r="AK23" s="60"/>
      <c r="AL23" s="237">
        <f>1493*1.0276*1.0091*1.0182*1.0155</f>
        <v>1600.7780844552547</v>
      </c>
      <c r="AM23" s="60">
        <f>-601*1.0276*1.0091*1.0182*1.0155</f>
        <v>-644.38555174655585</v>
      </c>
      <c r="AN23" s="60"/>
      <c r="AO23" s="60"/>
      <c r="AP23" s="255">
        <v>751.66666666666674</v>
      </c>
      <c r="AQ23" s="261">
        <v>650</v>
      </c>
      <c r="AR23" s="262">
        <f t="shared" si="7"/>
        <v>3564.9643115013369</v>
      </c>
      <c r="AT23" s="21" t="e">
        <f>(J23+#REF!)/($J$31+#REF!)</f>
        <v>#REF!</v>
      </c>
      <c r="AU23" s="14" t="e">
        <f t="shared" si="8"/>
        <v>#REF!</v>
      </c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72"/>
      <c r="BG23" s="46"/>
      <c r="BH23" s="46"/>
      <c r="BI23" s="46"/>
      <c r="BJ23" s="46"/>
      <c r="BK23" s="65"/>
      <c r="BL23" s="127">
        <v>2.9557779356361016E-2</v>
      </c>
      <c r="BM23" s="127">
        <v>2.1467644790342348E-2</v>
      </c>
      <c r="BN23" s="127">
        <v>4.1379310344827586E-2</v>
      </c>
      <c r="BO23" s="128">
        <v>2.2093875704667101E-2</v>
      </c>
      <c r="BP23" s="127">
        <v>3.674520139639445E-2</v>
      </c>
      <c r="BQ23" s="127">
        <v>3.9354068122679588E-2</v>
      </c>
      <c r="BR23" s="127">
        <v>3.04E-2</v>
      </c>
      <c r="BS23" s="127">
        <v>3.0066666666666669E-2</v>
      </c>
      <c r="BT23" s="82"/>
      <c r="BU23" s="82"/>
      <c r="BV23" s="82"/>
      <c r="BW23" s="82"/>
      <c r="BX23" s="83">
        <f t="shared" si="9"/>
        <v>31202.924907132452</v>
      </c>
      <c r="BY23" s="83">
        <f t="shared" si="0"/>
        <v>3350.1093641329212</v>
      </c>
      <c r="BZ23" s="83">
        <f t="shared" si="1"/>
        <v>4938.0133889816034</v>
      </c>
      <c r="CA23" s="83">
        <f t="shared" si="2"/>
        <v>0</v>
      </c>
      <c r="CB23" s="83">
        <f t="shared" si="3"/>
        <v>3035.7695756598569</v>
      </c>
      <c r="CC23" s="83">
        <f t="shared" si="4"/>
        <v>9392.6609061998206</v>
      </c>
      <c r="CD23" s="83">
        <f t="shared" si="10"/>
        <v>4464.9770294627506</v>
      </c>
      <c r="CE23" s="83">
        <f t="shared" si="11"/>
        <v>1104.004736999836</v>
      </c>
      <c r="CF23" s="84">
        <f t="shared" si="12"/>
        <v>57488.459908569246</v>
      </c>
      <c r="CH23" s="15">
        <f t="shared" si="5"/>
        <v>0</v>
      </c>
      <c r="CI23" s="5" t="e">
        <f>-#REF!</f>
        <v>#REF!</v>
      </c>
      <c r="CK23" s="4">
        <v>32000</v>
      </c>
      <c r="CL23" s="5" t="e">
        <f t="shared" si="13"/>
        <v>#REF!</v>
      </c>
      <c r="CM23" s="35" t="e">
        <f t="shared" si="14"/>
        <v>#REF!</v>
      </c>
      <c r="CN23" s="22" t="e">
        <f t="shared" si="6"/>
        <v>#REF!</v>
      </c>
      <c r="CR23" s="93" t="s">
        <v>31</v>
      </c>
      <c r="CS23" s="266">
        <f t="shared" si="15"/>
        <v>3564.9643115013369</v>
      </c>
      <c r="CT23" s="96"/>
      <c r="CU23" s="96">
        <f t="shared" si="16"/>
        <v>36700</v>
      </c>
      <c r="CV23" s="96">
        <f t="shared" si="19"/>
        <v>57488.459908569246</v>
      </c>
      <c r="CW23" s="96"/>
      <c r="CX23" s="267">
        <f t="shared" si="17"/>
        <v>97753.424220070592</v>
      </c>
      <c r="CY23" s="123">
        <f t="shared" si="18"/>
        <v>3.5557586802966799E-2</v>
      </c>
      <c r="CZ23" s="110"/>
      <c r="DA23" s="96"/>
      <c r="DB23" s="96">
        <v>3884</v>
      </c>
      <c r="DC23" s="175"/>
      <c r="DD23" s="150"/>
      <c r="DE23" s="150"/>
      <c r="DF23" s="194"/>
      <c r="DG23" s="195"/>
      <c r="DH23" s="196"/>
      <c r="DI23" s="165"/>
      <c r="DJ23" s="5"/>
      <c r="DL23" s="149"/>
      <c r="DM23" s="149"/>
      <c r="DN23" s="48"/>
      <c r="DO23" s="149"/>
      <c r="DP23" s="150"/>
      <c r="DQ23" s="150"/>
      <c r="DR23" s="150"/>
      <c r="DS23" s="150"/>
      <c r="DT23" s="112"/>
      <c r="DU23" s="111"/>
      <c r="DV23" s="113"/>
      <c r="DW23" s="98"/>
      <c r="DX23" s="48"/>
      <c r="DY23" s="5"/>
      <c r="DZ23" s="132"/>
      <c r="EA23" s="5"/>
      <c r="EB23" s="5"/>
      <c r="EC23" s="42"/>
      <c r="ED23" s="5"/>
      <c r="EF23" s="5"/>
      <c r="EG23" s="5"/>
      <c r="EH23" s="5"/>
      <c r="EI23" s="5"/>
      <c r="EK23" s="5"/>
      <c r="EL23" s="42"/>
      <c r="EP23" s="42"/>
      <c r="EQ23" s="42"/>
      <c r="ER23" s="42"/>
      <c r="EV23" s="42"/>
      <c r="EW23" s="5"/>
      <c r="EY23" s="32"/>
    </row>
    <row r="24" spans="1:155" x14ac:dyDescent="0.25">
      <c r="H24" s="3" t="s">
        <v>32</v>
      </c>
      <c r="I24" s="3" t="s">
        <v>33</v>
      </c>
      <c r="J24" s="42"/>
      <c r="K24" s="6"/>
      <c r="L24" s="242"/>
      <c r="M24" s="60"/>
      <c r="N24" s="60"/>
      <c r="O24" s="60"/>
      <c r="P24" s="60"/>
      <c r="Q24" s="60"/>
      <c r="R24" s="60"/>
      <c r="S24" s="60">
        <f>806.108818303748*1.0362*1.006*1.0089*1.0057*1.0276*1.0091*1.0182*1.0155</f>
        <v>914.16193811307949</v>
      </c>
      <c r="T24" s="60"/>
      <c r="U24" s="60"/>
      <c r="V24" s="60"/>
      <c r="W24" s="60"/>
      <c r="X24" s="60"/>
      <c r="Y24" s="60"/>
      <c r="Z24" s="60"/>
      <c r="AA24" s="60">
        <v>-802.08224738542401</v>
      </c>
      <c r="AB24" s="60">
        <v>30000</v>
      </c>
      <c r="AC24" s="60"/>
      <c r="AD24" s="60"/>
      <c r="AE24" s="60">
        <f>-222*1.006*1.0089*1.0057*1.0276*1.0091*1.0182*1.0155</f>
        <v>-242.96227726969062</v>
      </c>
      <c r="AF24" s="60"/>
      <c r="AG24" s="60"/>
      <c r="AH24" s="60"/>
      <c r="AI24" s="60"/>
      <c r="AJ24" s="56"/>
      <c r="AK24" s="60"/>
      <c r="AL24" s="60">
        <f>-1248*1.0276*1.0091*1.0182*1.0155</f>
        <v>-1338.0917946417667</v>
      </c>
      <c r="AM24" s="60">
        <f>-382*1.0276*1.0091*1.0182*1.0155</f>
        <v>-409.5761743214382</v>
      </c>
      <c r="AN24" s="60"/>
      <c r="AO24" s="60"/>
      <c r="AP24" s="255">
        <v>581.66666666666674</v>
      </c>
      <c r="AQ24" s="261">
        <v>650</v>
      </c>
      <c r="AR24" s="262">
        <f t="shared" si="7"/>
        <v>29353.116111161431</v>
      </c>
      <c r="AT24" s="21" t="e">
        <f>(J24+#REF!)/($J$31+#REF!)</f>
        <v>#REF!</v>
      </c>
      <c r="AU24" s="14" t="e">
        <f t="shared" si="8"/>
        <v>#REF!</v>
      </c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72"/>
      <c r="BG24" s="46"/>
      <c r="BH24" s="46"/>
      <c r="BI24" s="46"/>
      <c r="BJ24" s="46"/>
      <c r="BK24" s="65"/>
      <c r="BL24" s="127">
        <v>2.6839302929475436E-2</v>
      </c>
      <c r="BM24" s="127">
        <v>1.2747591656092809E-2</v>
      </c>
      <c r="BN24" s="127">
        <v>3.4482758620689655E-2</v>
      </c>
      <c r="BO24" s="128">
        <v>2.1039722957880997E-2</v>
      </c>
      <c r="BP24" s="127">
        <v>3.0738500837056926E-2</v>
      </c>
      <c r="BQ24" s="127">
        <v>3.3738348125272856E-2</v>
      </c>
      <c r="BR24" s="127">
        <v>2.18E-2</v>
      </c>
      <c r="BS24" s="127">
        <v>2.3266666666666668E-2</v>
      </c>
      <c r="BT24" s="82"/>
      <c r="BU24" s="82"/>
      <c r="BV24" s="82"/>
      <c r="BW24" s="82"/>
      <c r="BX24" s="83">
        <f t="shared" si="9"/>
        <v>28333.141802412651</v>
      </c>
      <c r="BY24" s="83">
        <f t="shared" si="0"/>
        <v>1989.3111980514643</v>
      </c>
      <c r="BZ24" s="83">
        <f t="shared" si="1"/>
        <v>4115.0111574846696</v>
      </c>
      <c r="CA24" s="83">
        <f t="shared" si="2"/>
        <v>0</v>
      </c>
      <c r="CB24" s="83">
        <f t="shared" si="3"/>
        <v>2539.5154223236564</v>
      </c>
      <c r="CC24" s="83">
        <f t="shared" si="4"/>
        <v>8052.3533802947886</v>
      </c>
      <c r="CD24" s="83">
        <f t="shared" si="10"/>
        <v>3201.858527706841</v>
      </c>
      <c r="CE24" s="83">
        <f t="shared" si="11"/>
        <v>854.31852153645843</v>
      </c>
      <c r="CF24" s="84">
        <f t="shared" si="12"/>
        <v>49085.510009810525</v>
      </c>
      <c r="CH24" s="15">
        <f t="shared" si="5"/>
        <v>0</v>
      </c>
      <c r="CI24" s="5" t="e">
        <f>-#REF!</f>
        <v>#REF!</v>
      </c>
      <c r="CK24" s="4">
        <v>32000</v>
      </c>
      <c r="CL24" s="5" t="e">
        <f t="shared" si="13"/>
        <v>#REF!</v>
      </c>
      <c r="CM24" s="35" t="e">
        <f t="shared" si="14"/>
        <v>#REF!</v>
      </c>
      <c r="CN24" s="22" t="e">
        <f t="shared" si="6"/>
        <v>#REF!</v>
      </c>
      <c r="CR24" s="93" t="s">
        <v>33</v>
      </c>
      <c r="CS24" s="266">
        <f t="shared" si="15"/>
        <v>29353.116111161431</v>
      </c>
      <c r="CT24" s="96"/>
      <c r="CU24" s="96">
        <f t="shared" si="16"/>
        <v>36700</v>
      </c>
      <c r="CV24" s="96">
        <f t="shared" si="19"/>
        <v>49085.510009810525</v>
      </c>
      <c r="CW24" s="96"/>
      <c r="CX24" s="267">
        <f t="shared" si="17"/>
        <v>115138.62612097195</v>
      </c>
      <c r="CY24" s="123">
        <f t="shared" si="18"/>
        <v>4.188141464440092E-2</v>
      </c>
      <c r="CZ24" s="110"/>
      <c r="DA24" s="96"/>
      <c r="DB24" s="96">
        <v>4580</v>
      </c>
      <c r="DC24" s="175"/>
      <c r="DD24" s="150"/>
      <c r="DE24" s="150"/>
      <c r="DF24" s="194"/>
      <c r="DG24" s="195"/>
      <c r="DH24" s="196"/>
      <c r="DI24" s="165"/>
      <c r="DJ24" s="5"/>
      <c r="DL24" s="149"/>
      <c r="DM24" s="149"/>
      <c r="DN24" s="48"/>
      <c r="DO24" s="149"/>
      <c r="DP24" s="150"/>
      <c r="DQ24" s="150"/>
      <c r="DR24" s="150"/>
      <c r="DS24" s="150"/>
      <c r="DT24" s="112"/>
      <c r="DU24" s="111"/>
      <c r="DV24" s="113"/>
      <c r="DW24" s="98"/>
      <c r="DX24" s="48"/>
      <c r="DY24" s="5"/>
      <c r="DZ24" s="132"/>
      <c r="EA24" s="5"/>
      <c r="EB24" s="5"/>
      <c r="EC24" s="42"/>
      <c r="ED24" s="5"/>
      <c r="EF24" s="5"/>
      <c r="EG24" s="5"/>
      <c r="EH24" s="5"/>
      <c r="EI24" s="5"/>
      <c r="EK24" s="5"/>
      <c r="EL24" s="42"/>
      <c r="EP24" s="42"/>
      <c r="EQ24" s="42"/>
      <c r="ER24" s="42"/>
      <c r="EV24" s="42"/>
      <c r="EW24" s="5"/>
      <c r="EY24" s="32"/>
    </row>
    <row r="25" spans="1:155" x14ac:dyDescent="0.25">
      <c r="H25" s="3" t="s">
        <v>34</v>
      </c>
      <c r="I25" s="3" t="s">
        <v>6</v>
      </c>
      <c r="J25" s="42"/>
      <c r="K25" s="7"/>
      <c r="L25" s="242"/>
      <c r="M25" s="60"/>
      <c r="N25" s="60"/>
      <c r="O25" s="60"/>
      <c r="P25" s="60">
        <f>151.234996507715*1.0362*1.006*1.0089*1.0057*1.0276*1.0091*1.0182*1.0155</f>
        <v>171.50696578277928</v>
      </c>
      <c r="Q25" s="60"/>
      <c r="R25" s="60"/>
      <c r="S25" s="60">
        <f t="shared" ref="S25:S30" si="20">1083.20872459566*1.0362*1.006*1.0089*1.0057*1.0276*1.0091*1.0182*1.0155</f>
        <v>1228.4051043394493</v>
      </c>
      <c r="T25" s="60"/>
      <c r="U25" s="60"/>
      <c r="V25" s="60"/>
      <c r="W25" s="60"/>
      <c r="X25" s="60"/>
      <c r="Y25" s="60"/>
      <c r="Z25" s="60"/>
      <c r="AA25" s="60">
        <v>-1110.9066561355901</v>
      </c>
      <c r="AB25" s="60"/>
      <c r="AC25" s="60"/>
      <c r="AD25" s="60"/>
      <c r="AE25" s="60">
        <f>826*1.006*1.0089*1.0057*1.0276*1.0091*1.0182*1.0155</f>
        <v>903.99477939083101</v>
      </c>
      <c r="AF25" s="60"/>
      <c r="AG25" s="60"/>
      <c r="AH25" s="60"/>
      <c r="AI25" s="60"/>
      <c r="AJ25" s="56"/>
      <c r="AK25" s="60"/>
      <c r="AL25" s="60">
        <f>1269*1.0276*1.0091*1.0182*1.0155</f>
        <v>1360.6077623400656</v>
      </c>
      <c r="AM25" s="60">
        <f>1952*1.0276*1.0091*1.0182*1.0155</f>
        <v>2092.9128070037891</v>
      </c>
      <c r="AN25" s="60"/>
      <c r="AO25" s="60"/>
      <c r="AP25" s="255">
        <v>980</v>
      </c>
      <c r="AQ25" s="261">
        <v>650</v>
      </c>
      <c r="AR25" s="262">
        <f t="shared" si="7"/>
        <v>6276.520762721324</v>
      </c>
      <c r="AT25" s="21" t="e">
        <f>(J25+#REF!)/($J$31+#REF!)</f>
        <v>#REF!</v>
      </c>
      <c r="AU25" s="14" t="e">
        <f t="shared" si="8"/>
        <v>#REF!</v>
      </c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72"/>
      <c r="BG25" s="46"/>
      <c r="BH25" s="46"/>
      <c r="BI25" s="46"/>
      <c r="BJ25" s="46"/>
      <c r="BK25" s="65"/>
      <c r="BL25" s="127">
        <v>2.8633975325911647E-2</v>
      </c>
      <c r="BM25" s="127">
        <v>6.7393110191592026E-2</v>
      </c>
      <c r="BN25" s="127">
        <v>5.1724137931034482E-2</v>
      </c>
      <c r="BO25" s="128">
        <v>5.7377697999052582E-2</v>
      </c>
      <c r="BP25" s="127">
        <v>6.4500725078026136E-2</v>
      </c>
      <c r="BQ25" s="127">
        <v>4.0589769988256058E-2</v>
      </c>
      <c r="BR25" s="127">
        <v>3.1399999999999997E-2</v>
      </c>
      <c r="BS25" s="127">
        <v>3.9199999999999999E-2</v>
      </c>
      <c r="BT25" s="82"/>
      <c r="BU25" s="82"/>
      <c r="BV25" s="82"/>
      <c r="BW25" s="82"/>
      <c r="BX25" s="83">
        <f t="shared" si="9"/>
        <v>30227.703208523533</v>
      </c>
      <c r="BY25" s="83">
        <f t="shared" si="0"/>
        <v>10516.95664502812</v>
      </c>
      <c r="BZ25" s="83">
        <f t="shared" si="1"/>
        <v>6172.5167362270049</v>
      </c>
      <c r="CA25" s="83">
        <f t="shared" si="2"/>
        <v>0</v>
      </c>
      <c r="CB25" s="83">
        <f t="shared" si="3"/>
        <v>5328.8410828818014</v>
      </c>
      <c r="CC25" s="83">
        <f t="shared" si="4"/>
        <v>9687.5866701217838</v>
      </c>
      <c r="CD25" s="83">
        <f t="shared" si="10"/>
        <v>4611.8512738529726</v>
      </c>
      <c r="CE25" s="83">
        <f t="shared" si="11"/>
        <v>1439.3675950241761</v>
      </c>
      <c r="CF25" s="84">
        <f t="shared" si="12"/>
        <v>67984.823211659386</v>
      </c>
      <c r="CH25" s="15">
        <f t="shared" si="5"/>
        <v>0</v>
      </c>
      <c r="CI25" s="5" t="e">
        <f>-#REF!</f>
        <v>#REF!</v>
      </c>
      <c r="CK25" s="4">
        <v>32000</v>
      </c>
      <c r="CL25" s="5" t="e">
        <f t="shared" si="13"/>
        <v>#REF!</v>
      </c>
      <c r="CM25" s="35" t="e">
        <f t="shared" si="14"/>
        <v>#REF!</v>
      </c>
      <c r="CN25" s="22" t="e">
        <f t="shared" si="6"/>
        <v>#REF!</v>
      </c>
      <c r="CR25" s="93" t="s">
        <v>6</v>
      </c>
      <c r="CS25" s="266">
        <f t="shared" si="15"/>
        <v>6276.520762721324</v>
      </c>
      <c r="CT25" s="96"/>
      <c r="CU25" s="96">
        <f t="shared" si="16"/>
        <v>36700</v>
      </c>
      <c r="CV25" s="96">
        <f t="shared" si="19"/>
        <v>67984.823211659386</v>
      </c>
      <c r="CW25" s="96"/>
      <c r="CX25" s="267">
        <f>SUM(CS25:CV25)</f>
        <v>110961.34397438071</v>
      </c>
      <c r="CY25" s="123">
        <f t="shared" si="18"/>
        <v>4.0361937718523533E-2</v>
      </c>
      <c r="CZ25" s="110"/>
      <c r="DA25" s="96"/>
      <c r="DB25" s="96">
        <v>4412</v>
      </c>
      <c r="DC25" s="175"/>
      <c r="DD25" s="150"/>
      <c r="DE25" s="150"/>
      <c r="DF25" s="194"/>
      <c r="DG25" s="195"/>
      <c r="DH25" s="196"/>
      <c r="DI25" s="165"/>
      <c r="DJ25" s="5"/>
      <c r="DL25" s="149"/>
      <c r="DM25" s="149"/>
      <c r="DN25" s="48"/>
      <c r="DO25" s="149"/>
      <c r="DP25" s="150"/>
      <c r="DQ25" s="150"/>
      <c r="DR25" s="150"/>
      <c r="DS25" s="150"/>
      <c r="DT25" s="112"/>
      <c r="DU25" s="111"/>
      <c r="DV25" s="113"/>
      <c r="DW25" s="98"/>
      <c r="DX25" s="48"/>
      <c r="DY25" s="5"/>
      <c r="DZ25" s="131"/>
      <c r="EA25" s="5"/>
      <c r="EB25" s="5"/>
      <c r="EC25" s="42"/>
      <c r="ED25" s="5"/>
      <c r="EF25" s="5"/>
      <c r="EG25" s="5"/>
      <c r="EH25" s="5"/>
      <c r="EI25" s="5"/>
      <c r="EK25" s="5"/>
      <c r="EL25" s="42"/>
      <c r="EP25" s="42"/>
      <c r="EQ25" s="42"/>
      <c r="ER25" s="42"/>
      <c r="EV25" s="42"/>
      <c r="EW25" s="5"/>
      <c r="EY25" s="32"/>
    </row>
    <row r="26" spans="1:155" x14ac:dyDescent="0.25">
      <c r="H26" s="3" t="s">
        <v>35</v>
      </c>
      <c r="I26" s="3" t="s">
        <v>9</v>
      </c>
      <c r="J26" s="42"/>
      <c r="K26" s="6"/>
      <c r="L26" s="242"/>
      <c r="M26" s="60"/>
      <c r="N26" s="60"/>
      <c r="O26" s="60"/>
      <c r="P26" s="60">
        <f>94.5218728173217*1.0362*1.006*1.0089*1.0057*1.0276*1.0091*1.0182*1.0155</f>
        <v>107.19185361423685</v>
      </c>
      <c r="Q26" s="60"/>
      <c r="R26" s="60"/>
      <c r="S26" s="60">
        <f t="shared" si="20"/>
        <v>1228.4051043394493</v>
      </c>
      <c r="T26" s="60"/>
      <c r="U26" s="60"/>
      <c r="V26" s="60"/>
      <c r="W26" s="60"/>
      <c r="X26" s="60"/>
      <c r="Y26" s="60"/>
      <c r="Z26" s="60"/>
      <c r="AA26" s="60">
        <v>-1059.10637166075</v>
      </c>
      <c r="AB26" s="60"/>
      <c r="AC26" s="60"/>
      <c r="AD26" s="60"/>
      <c r="AE26" s="60">
        <f>-279*1.006*1.0089*1.0057*1.0276*1.0091*1.0182*1.0155</f>
        <v>-305.34448359569222</v>
      </c>
      <c r="AF26" s="60"/>
      <c r="AG26" s="60"/>
      <c r="AH26" s="60"/>
      <c r="AI26" s="60">
        <f>700*1.0057*1.0276*1.0091*1.0182*1.0155</f>
        <v>754.81029047264212</v>
      </c>
      <c r="AJ26" s="56"/>
      <c r="AK26" s="60">
        <f>840*1.0276*1.0091*1.0182*1.0155</f>
        <v>900.63870793195838</v>
      </c>
      <c r="AL26" s="60">
        <f>-1269*1.0276*1.0091*1.0182*1.0155</f>
        <v>-1360.6077623400656</v>
      </c>
      <c r="AM26" s="60">
        <f>-479*1.0276*1.0091*1.0182*1.0155</f>
        <v>-513.57850130881911</v>
      </c>
      <c r="AN26" s="60"/>
      <c r="AO26" s="60"/>
      <c r="AP26" s="255">
        <v>820.83333333333326</v>
      </c>
      <c r="AQ26" s="261">
        <v>650</v>
      </c>
      <c r="AR26" s="262">
        <f t="shared" si="7"/>
        <v>1223.2421707862929</v>
      </c>
      <c r="AT26" s="21" t="e">
        <f>(J26+#REF!)/($J$31+#REF!)</f>
        <v>#REF!</v>
      </c>
      <c r="AU26" s="14" t="e">
        <f t="shared" si="8"/>
        <v>#REF!</v>
      </c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72"/>
      <c r="BG26" s="46"/>
      <c r="BH26" s="46"/>
      <c r="BI26" s="46"/>
      <c r="BJ26" s="46"/>
      <c r="BK26" s="65"/>
      <c r="BL26" s="127">
        <v>2.871991802603532E-2</v>
      </c>
      <c r="BM26" s="127">
        <v>4.3894495425452151E-2</v>
      </c>
      <c r="BN26" s="127">
        <v>3.4482758620689655E-2</v>
      </c>
      <c r="BO26" s="128">
        <v>2.2952255663567345E-2</v>
      </c>
      <c r="BP26" s="127">
        <v>7.9997490734625545E-2</v>
      </c>
      <c r="BQ26" s="127">
        <v>4.4866366814012418E-2</v>
      </c>
      <c r="BR26" s="127">
        <v>3.4099999999999998E-2</v>
      </c>
      <c r="BS26" s="127">
        <v>3.2833333333333332E-2</v>
      </c>
      <c r="BT26" s="82"/>
      <c r="BU26" s="82"/>
      <c r="BV26" s="82"/>
      <c r="BW26" s="82"/>
      <c r="BX26" s="83">
        <f t="shared" si="9"/>
        <v>30318.429361728209</v>
      </c>
      <c r="BY26" s="83">
        <f t="shared" si="0"/>
        <v>6849.9065265348036</v>
      </c>
      <c r="BZ26" s="83">
        <f t="shared" si="1"/>
        <v>4115.0111574846696</v>
      </c>
      <c r="CA26" s="83">
        <f t="shared" si="2"/>
        <v>0</v>
      </c>
      <c r="CB26" s="83">
        <f t="shared" si="3"/>
        <v>6609.1336901785789</v>
      </c>
      <c r="CC26" s="83">
        <f t="shared" si="4"/>
        <v>10708.28480205674</v>
      </c>
      <c r="CD26" s="83">
        <f t="shared" si="10"/>
        <v>5008.4117337065727</v>
      </c>
      <c r="CE26" s="83">
        <f t="shared" si="11"/>
        <v>1205.5927560364062</v>
      </c>
      <c r="CF26" s="84">
        <f t="shared" si="12"/>
        <v>64814.770027725972</v>
      </c>
      <c r="CH26" s="15">
        <f t="shared" si="5"/>
        <v>0</v>
      </c>
      <c r="CI26" s="5" t="e">
        <f>-#REF!</f>
        <v>#REF!</v>
      </c>
      <c r="CK26" s="4">
        <v>32000</v>
      </c>
      <c r="CL26" s="5" t="e">
        <f t="shared" si="13"/>
        <v>#REF!</v>
      </c>
      <c r="CM26" s="35" t="e">
        <f t="shared" si="14"/>
        <v>#REF!</v>
      </c>
      <c r="CN26" s="22" t="e">
        <f t="shared" si="6"/>
        <v>#REF!</v>
      </c>
      <c r="CR26" s="93" t="s">
        <v>9</v>
      </c>
      <c r="CS26" s="266">
        <f t="shared" si="15"/>
        <v>1223.2421707862929</v>
      </c>
      <c r="CT26" s="96"/>
      <c r="CU26" s="96">
        <f t="shared" si="16"/>
        <v>36700</v>
      </c>
      <c r="CV26" s="96">
        <f t="shared" si="19"/>
        <v>64814.770027725972</v>
      </c>
      <c r="CW26" s="96"/>
      <c r="CX26" s="267">
        <f t="shared" si="17"/>
        <v>102738.01219851227</v>
      </c>
      <c r="CY26" s="123">
        <f t="shared" si="18"/>
        <v>3.7370719397907384E-2</v>
      </c>
      <c r="CZ26" s="110"/>
      <c r="DA26" s="96"/>
      <c r="DB26" s="96">
        <v>4084</v>
      </c>
      <c r="DC26" s="175"/>
      <c r="DD26" s="150"/>
      <c r="DE26" s="150"/>
      <c r="DF26" s="194"/>
      <c r="DG26" s="195"/>
      <c r="DH26" s="196"/>
      <c r="DI26" s="165"/>
      <c r="DJ26" s="5"/>
      <c r="DL26" s="149"/>
      <c r="DM26" s="149"/>
      <c r="DN26" s="48"/>
      <c r="DO26" s="149"/>
      <c r="DP26" s="150"/>
      <c r="DQ26" s="150"/>
      <c r="DR26" s="150"/>
      <c r="DS26" s="150"/>
      <c r="DT26" s="112"/>
      <c r="DU26" s="111"/>
      <c r="DV26" s="113"/>
      <c r="DW26" s="98"/>
      <c r="DX26" s="48"/>
      <c r="DY26" s="5"/>
      <c r="DZ26" s="132"/>
      <c r="EA26" s="5"/>
      <c r="EB26" s="5"/>
      <c r="EC26" s="42"/>
      <c r="ED26" s="5"/>
      <c r="EF26" s="5"/>
      <c r="EG26" s="5"/>
      <c r="EH26" s="5"/>
      <c r="EI26" s="5"/>
      <c r="EK26" s="5"/>
      <c r="EL26" s="42"/>
      <c r="EP26" s="42"/>
      <c r="EQ26" s="42"/>
      <c r="ER26" s="42"/>
      <c r="EV26" s="42"/>
      <c r="EW26" s="5"/>
      <c r="EY26" s="32"/>
    </row>
    <row r="27" spans="1:155" x14ac:dyDescent="0.25">
      <c r="H27" s="3" t="s">
        <v>36</v>
      </c>
      <c r="I27" s="3" t="s">
        <v>37</v>
      </c>
      <c r="J27" s="42"/>
      <c r="K27" s="6"/>
      <c r="L27" s="242"/>
      <c r="M27" s="60"/>
      <c r="N27" s="60"/>
      <c r="O27" s="60"/>
      <c r="P27" s="60">
        <f>59.8638527843037*1.0362*1.006*1.0089*1.0057*1.0276*1.0091*1.0182*1.0155</f>
        <v>67.8881739556833</v>
      </c>
      <c r="Q27" s="60"/>
      <c r="R27" s="60"/>
      <c r="S27" s="60">
        <f t="shared" si="20"/>
        <v>1228.4051043394493</v>
      </c>
      <c r="T27" s="60"/>
      <c r="U27" s="60"/>
      <c r="V27" s="60"/>
      <c r="W27" s="60"/>
      <c r="X27" s="60"/>
      <c r="Y27" s="60"/>
      <c r="Z27" s="60"/>
      <c r="AA27" s="60">
        <v>-1040.1956864298299</v>
      </c>
      <c r="AB27" s="60"/>
      <c r="AC27" s="60"/>
      <c r="AD27" s="60"/>
      <c r="AE27" s="60">
        <f>210*1.006*1.0089*1.0057*1.0276*1.0091*1.0182*1.0155</f>
        <v>229.8291812010587</v>
      </c>
      <c r="AF27" s="60"/>
      <c r="AG27" s="60"/>
      <c r="AH27" s="60"/>
      <c r="AI27" s="60"/>
      <c r="AJ27" s="56"/>
      <c r="AK27" s="60">
        <f>1680*1.0276*1.0091*1.0182*1.0155</f>
        <v>1801.2774158639168</v>
      </c>
      <c r="AL27" s="60">
        <f>1560*1.0276*1.0091*1.0182*1.0155</f>
        <v>1672.6147433022086</v>
      </c>
      <c r="AM27" s="60">
        <f>512*1.0276*1.0091*1.0182*1.0155</f>
        <v>548.96073626328894</v>
      </c>
      <c r="AN27" s="60">
        <f>2540*1.0276*1.0091*1.0182*1.0155</f>
        <v>2723.3599025561603</v>
      </c>
      <c r="AO27" s="60"/>
      <c r="AP27" s="255">
        <v>750</v>
      </c>
      <c r="AQ27" s="261">
        <v>650</v>
      </c>
      <c r="AR27" s="262">
        <f t="shared" si="7"/>
        <v>8632.1395710519355</v>
      </c>
      <c r="AT27" s="21" t="e">
        <f>(J27+#REF!)/($J$31+#REF!)</f>
        <v>#REF!</v>
      </c>
      <c r="AU27" s="14" t="e">
        <f t="shared" si="8"/>
        <v>#REF!</v>
      </c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72"/>
      <c r="BG27" s="46"/>
      <c r="BH27" s="46"/>
      <c r="BI27" s="46"/>
      <c r="BJ27" s="46"/>
      <c r="BK27" s="65"/>
      <c r="BL27" s="127">
        <v>2.4942472094834633E-2</v>
      </c>
      <c r="BM27" s="127">
        <v>5.1307781878266644E-2</v>
      </c>
      <c r="BN27" s="127">
        <v>2.4137931034482758E-2</v>
      </c>
      <c r="BO27" s="128">
        <v>2.1779868782484425E-2</v>
      </c>
      <c r="BP27" s="127">
        <v>0.10157248273927355</v>
      </c>
      <c r="BQ27" s="127">
        <v>5.4387533792074713E-2</v>
      </c>
      <c r="BR27" s="127">
        <v>2.7E-2</v>
      </c>
      <c r="BS27" s="127">
        <v>0.03</v>
      </c>
      <c r="BT27" s="82"/>
      <c r="BU27" s="82"/>
      <c r="BV27" s="82"/>
      <c r="BW27" s="82"/>
      <c r="BX27" s="83">
        <f t="shared" si="9"/>
        <v>26330.735959224941</v>
      </c>
      <c r="BY27" s="83">
        <f t="shared" si="0"/>
        <v>8006.7786756280393</v>
      </c>
      <c r="BZ27" s="83">
        <f t="shared" si="1"/>
        <v>2880.507810239269</v>
      </c>
      <c r="CA27" s="83">
        <f t="shared" si="2"/>
        <v>0</v>
      </c>
      <c r="CB27" s="83">
        <f t="shared" si="3"/>
        <v>8391.5896799079419</v>
      </c>
      <c r="CC27" s="83">
        <f t="shared" si="4"/>
        <v>12980.707886182794</v>
      </c>
      <c r="CD27" s="83">
        <f t="shared" si="10"/>
        <v>3965.604598535996</v>
      </c>
      <c r="CE27" s="83">
        <f t="shared" si="11"/>
        <v>1101.5568329266655</v>
      </c>
      <c r="CF27" s="84">
        <f t="shared" si="12"/>
        <v>63657.481442645658</v>
      </c>
      <c r="CH27" s="15">
        <f t="shared" si="5"/>
        <v>0</v>
      </c>
      <c r="CI27" s="5" t="e">
        <f>-#REF!</f>
        <v>#REF!</v>
      </c>
      <c r="CK27" s="4">
        <v>32000</v>
      </c>
      <c r="CL27" s="5" t="e">
        <f t="shared" si="13"/>
        <v>#REF!</v>
      </c>
      <c r="CM27" s="35" t="e">
        <f t="shared" si="14"/>
        <v>#REF!</v>
      </c>
      <c r="CN27" s="22" t="e">
        <f t="shared" si="6"/>
        <v>#REF!</v>
      </c>
      <c r="CR27" s="93" t="s">
        <v>37</v>
      </c>
      <c r="CS27" s="266">
        <f t="shared" si="15"/>
        <v>8632.1395710519355</v>
      </c>
      <c r="CT27" s="96"/>
      <c r="CU27" s="96">
        <f t="shared" si="16"/>
        <v>36700</v>
      </c>
      <c r="CV27" s="96">
        <f t="shared" si="19"/>
        <v>63657.481442645658</v>
      </c>
      <c r="CW27" s="96"/>
      <c r="CX27" s="267">
        <f t="shared" si="17"/>
        <v>108989.62101369759</v>
      </c>
      <c r="CY27" s="123">
        <f t="shared" si="18"/>
        <v>3.9644727954412803E-2</v>
      </c>
      <c r="CZ27" s="110"/>
      <c r="DA27" s="96"/>
      <c r="DB27" s="96">
        <v>4334</v>
      </c>
      <c r="DC27" s="175"/>
      <c r="DD27" s="150"/>
      <c r="DE27" s="150"/>
      <c r="DF27" s="194"/>
      <c r="DG27" s="195"/>
      <c r="DH27" s="196"/>
      <c r="DI27" s="165"/>
      <c r="DJ27" s="5"/>
      <c r="DL27" s="149"/>
      <c r="DM27" s="149"/>
      <c r="DN27" s="48"/>
      <c r="DO27" s="149"/>
      <c r="DP27" s="150"/>
      <c r="DQ27" s="150"/>
      <c r="DR27" s="150"/>
      <c r="DS27" s="150"/>
      <c r="DT27" s="112"/>
      <c r="DU27" s="111"/>
      <c r="DV27" s="113"/>
      <c r="DW27" s="98"/>
      <c r="DX27" s="48"/>
      <c r="DY27" s="5"/>
      <c r="DZ27" s="132"/>
      <c r="EA27" s="5"/>
      <c r="EB27" s="5"/>
      <c r="EC27" s="42"/>
      <c r="ED27" s="5"/>
      <c r="EF27" s="5"/>
      <c r="EG27" s="5"/>
      <c r="EH27" s="5"/>
      <c r="EI27" s="5"/>
      <c r="EK27" s="5"/>
      <c r="EL27" s="42"/>
      <c r="EP27" s="42"/>
      <c r="EQ27" s="42"/>
      <c r="ER27" s="42"/>
      <c r="EV27" s="42"/>
      <c r="EW27" s="5"/>
      <c r="EY27" s="32"/>
    </row>
    <row r="28" spans="1:155" x14ac:dyDescent="0.25">
      <c r="A28" s="233" t="s">
        <v>174</v>
      </c>
      <c r="B28" s="3">
        <v>1.0155000000000001</v>
      </c>
      <c r="H28" s="3" t="s">
        <v>38</v>
      </c>
      <c r="I28" s="3" t="s">
        <v>39</v>
      </c>
      <c r="J28" s="42"/>
      <c r="K28" s="6"/>
      <c r="L28" s="242">
        <f>3479.45516270874*1.0362*1.006*1.0089*1.0057*1.0276*1.0091*1.0182*1.0155</f>
        <v>3945.8512335996274</v>
      </c>
      <c r="M28" s="60"/>
      <c r="N28" s="60"/>
      <c r="O28" s="60"/>
      <c r="P28" s="60">
        <f>79.8184703790716*1.0362*1.006*1.0089*1.0057*1.0276*1.0091*1.0182*1.0155</f>
        <v>90.517565274244404</v>
      </c>
      <c r="Q28" s="60"/>
      <c r="R28" s="60"/>
      <c r="S28" s="60">
        <f t="shared" si="20"/>
        <v>1228.4051043394493</v>
      </c>
      <c r="T28" s="60"/>
      <c r="U28" s="60">
        <v>-45.343621029585826</v>
      </c>
      <c r="V28" s="60"/>
      <c r="W28" s="60"/>
      <c r="X28" s="60"/>
      <c r="Y28" s="60"/>
      <c r="Z28" s="60">
        <f>(2598*1.0089*1.0057*1.0276*1.0091*1.0182*1.0155)+1000</f>
        <v>3826.3571559232723</v>
      </c>
      <c r="AA28" s="60">
        <v>-925.45768526875304</v>
      </c>
      <c r="AB28" s="60"/>
      <c r="AC28" s="60"/>
      <c r="AD28" s="60"/>
      <c r="AE28" s="60">
        <f>-278*1.006*1.0089*1.0057*1.0276*1.0091*1.0182*1.0155</f>
        <v>-304.25005892330631</v>
      </c>
      <c r="AF28" s="60"/>
      <c r="AG28" s="60"/>
      <c r="AH28" s="60"/>
      <c r="AI28" s="60"/>
      <c r="AJ28" s="56">
        <v>500</v>
      </c>
      <c r="AK28" s="60"/>
      <c r="AL28" s="60">
        <f>-1560*1.0276*1.0091*1.0182*1.0155</f>
        <v>-1672.6147433022086</v>
      </c>
      <c r="AM28" s="60">
        <f>-512*1.0276*1.0091*1.0182*1.0155</f>
        <v>-548.96073626328894</v>
      </c>
      <c r="AN28" s="60"/>
      <c r="AO28" s="60"/>
      <c r="AP28" s="255">
        <v>610.83333333333337</v>
      </c>
      <c r="AQ28" s="261">
        <v>650</v>
      </c>
      <c r="AR28" s="262">
        <f t="shared" si="7"/>
        <v>7355.3375476827832</v>
      </c>
      <c r="AT28" s="21" t="e">
        <f>(J28+#REF!)/($J$31+#REF!)</f>
        <v>#REF!</v>
      </c>
      <c r="AU28" s="14" t="e">
        <f t="shared" si="8"/>
        <v>#REF!</v>
      </c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72"/>
      <c r="BG28" s="46"/>
      <c r="BH28" s="46"/>
      <c r="BI28" s="46"/>
      <c r="BJ28" s="46"/>
      <c r="BK28" s="65"/>
      <c r="BL28" s="127">
        <v>1.3014017321962544E-2</v>
      </c>
      <c r="BM28" s="127">
        <v>0.11991735499819527</v>
      </c>
      <c r="BN28" s="127">
        <v>2.7586206896551724E-2</v>
      </c>
      <c r="BO28" s="128">
        <v>7.3230435498111271E-2</v>
      </c>
      <c r="BP28" s="127">
        <v>0.10576436297930707</v>
      </c>
      <c r="BQ28" s="127">
        <v>3.1102984038246361E-2</v>
      </c>
      <c r="BR28" s="127">
        <v>2.6100000000000002E-2</v>
      </c>
      <c r="BS28" s="127">
        <v>2.4433333333333335E-2</v>
      </c>
      <c r="BT28" s="82"/>
      <c r="BU28" s="82"/>
      <c r="BV28" s="82"/>
      <c r="BW28" s="82"/>
      <c r="BX28" s="83">
        <f t="shared" si="9"/>
        <v>13738.359717132413</v>
      </c>
      <c r="BY28" s="83">
        <f t="shared" si="0"/>
        <v>18713.569086173571</v>
      </c>
      <c r="BZ28" s="83">
        <f t="shared" si="1"/>
        <v>3292.0089259877359</v>
      </c>
      <c r="CA28" s="83">
        <f t="shared" si="2"/>
        <v>0</v>
      </c>
      <c r="CB28" s="83">
        <f t="shared" si="3"/>
        <v>8737.9092539993817</v>
      </c>
      <c r="CC28" s="83">
        <f t="shared" si="4"/>
        <v>7423.3693282101794</v>
      </c>
      <c r="CD28" s="83">
        <f t="shared" si="10"/>
        <v>3833.4177785847965</v>
      </c>
      <c r="CE28" s="83">
        <f t="shared" si="11"/>
        <v>897.15684281693984</v>
      </c>
      <c r="CF28" s="84">
        <f t="shared" si="12"/>
        <v>56635.790932905016</v>
      </c>
      <c r="CH28" s="15">
        <f t="shared" si="5"/>
        <v>0</v>
      </c>
      <c r="CI28" s="5" t="e">
        <f>-#REF!</f>
        <v>#REF!</v>
      </c>
      <c r="CK28" s="4">
        <v>32000</v>
      </c>
      <c r="CL28" s="5" t="e">
        <f t="shared" si="13"/>
        <v>#REF!</v>
      </c>
      <c r="CM28" s="35" t="e">
        <f t="shared" si="14"/>
        <v>#REF!</v>
      </c>
      <c r="CN28" s="22" t="e">
        <f t="shared" si="6"/>
        <v>#REF!</v>
      </c>
      <c r="CR28" s="93" t="s">
        <v>39</v>
      </c>
      <c r="CS28" s="266">
        <f t="shared" si="15"/>
        <v>7355.3375476827832</v>
      </c>
      <c r="CT28" s="96"/>
      <c r="CU28" s="96">
        <f t="shared" si="16"/>
        <v>36700</v>
      </c>
      <c r="CV28" s="96">
        <f t="shared" si="19"/>
        <v>56635.790932905016</v>
      </c>
      <c r="CW28" s="96"/>
      <c r="CX28" s="267">
        <f t="shared" si="17"/>
        <v>100691.12848058779</v>
      </c>
      <c r="CY28" s="123">
        <f t="shared" si="18"/>
        <v>3.66261700784705E-2</v>
      </c>
      <c r="CZ28" s="110"/>
      <c r="DA28" s="96"/>
      <c r="DB28" s="96">
        <v>4002</v>
      </c>
      <c r="DC28" s="175"/>
      <c r="DD28" s="150"/>
      <c r="DE28" s="150"/>
      <c r="DF28" s="194"/>
      <c r="DG28" s="195"/>
      <c r="DH28" s="196"/>
      <c r="DI28" s="165"/>
      <c r="DJ28" s="5"/>
      <c r="DL28" s="149"/>
      <c r="DM28" s="149"/>
      <c r="DN28" s="48"/>
      <c r="DO28" s="149"/>
      <c r="DP28" s="150"/>
      <c r="DQ28" s="150"/>
      <c r="DR28" s="150"/>
      <c r="DS28" s="150"/>
      <c r="DT28" s="112"/>
      <c r="DU28" s="111"/>
      <c r="DV28" s="113"/>
      <c r="DW28" s="98"/>
      <c r="DX28" s="48"/>
      <c r="DY28" s="5"/>
      <c r="DZ28" s="4"/>
      <c r="EA28" s="5"/>
      <c r="EB28" s="5"/>
      <c r="EC28" s="42"/>
      <c r="ED28" s="5"/>
      <c r="EF28" s="5"/>
      <c r="EG28" s="5"/>
      <c r="EH28" s="5"/>
      <c r="EI28" s="5"/>
      <c r="EK28" s="5"/>
      <c r="EL28" s="42"/>
      <c r="EP28" s="42"/>
      <c r="EQ28" s="42"/>
      <c r="ER28" s="42"/>
      <c r="EV28" s="42"/>
      <c r="EW28" s="5"/>
      <c r="EY28" s="32"/>
    </row>
    <row r="29" spans="1:155" x14ac:dyDescent="0.25">
      <c r="H29" s="3" t="s">
        <v>40</v>
      </c>
      <c r="I29" s="3" t="s">
        <v>41</v>
      </c>
      <c r="J29" s="42"/>
      <c r="K29" s="6"/>
      <c r="L29" s="242">
        <f>3703.1569283764*1.0362*1.006*1.0089*1.0057*1.0276*1.0091*1.0182*1.0155</f>
        <v>4199.5386204866536</v>
      </c>
      <c r="M29" s="60"/>
      <c r="N29" s="60"/>
      <c r="O29" s="60"/>
      <c r="P29" s="60">
        <f>91.371143723411*1.0362*1.006*1.0089*1.0057*1.0276*1.0091*1.0182*1.0155</f>
        <v>103.61879182709563</v>
      </c>
      <c r="Q29" s="60"/>
      <c r="R29" s="60"/>
      <c r="S29" s="60">
        <f t="shared" si="20"/>
        <v>1228.4051043394493</v>
      </c>
      <c r="T29" s="60"/>
      <c r="U29" s="60">
        <v>-260</v>
      </c>
      <c r="V29" s="60"/>
      <c r="W29" s="60"/>
      <c r="X29" s="60"/>
      <c r="Y29" s="60"/>
      <c r="Z29" s="60">
        <f>(1795*1.0089*1.0057*1.0276*1.0091*1.0182*1.0155)+1300</f>
        <v>3252.7756331340547</v>
      </c>
      <c r="AA29" s="60">
        <v>-1330.65594394033</v>
      </c>
      <c r="AB29" s="60"/>
      <c r="AC29" s="60"/>
      <c r="AD29" s="60"/>
      <c r="AE29" s="60">
        <f>-143*1.006*1.0089*1.0057*1.0276*1.0091*1.0182*1.0155</f>
        <v>-156.50272815119715</v>
      </c>
      <c r="AF29" s="60"/>
      <c r="AG29" s="60"/>
      <c r="AH29" s="60"/>
      <c r="AI29" s="60"/>
      <c r="AJ29" s="56"/>
      <c r="AK29" s="60">
        <f>840*1.0276*1.0091*1.0182*1.0155</f>
        <v>900.63870793195838</v>
      </c>
      <c r="AL29" s="60"/>
      <c r="AM29" s="60">
        <f>-607*1.0276*1.0091*1.0182*1.0155</f>
        <v>-650.81868537464129</v>
      </c>
      <c r="AN29" s="60"/>
      <c r="AO29" s="60"/>
      <c r="AP29" s="255">
        <v>785.00000000000011</v>
      </c>
      <c r="AQ29" s="261">
        <v>650</v>
      </c>
      <c r="AR29" s="262">
        <f t="shared" si="7"/>
        <v>8721.9995002530413</v>
      </c>
      <c r="AT29" s="21" t="e">
        <f>(J29+#REF!)/($J$31+#REF!)</f>
        <v>#REF!</v>
      </c>
      <c r="AU29" s="14" t="e">
        <f t="shared" si="8"/>
        <v>#REF!</v>
      </c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72"/>
      <c r="BG29" s="46"/>
      <c r="BH29" s="46"/>
      <c r="BI29" s="46"/>
      <c r="BJ29" s="46"/>
      <c r="BK29" s="65"/>
      <c r="BL29" s="127">
        <v>2.6915912638258297E-2</v>
      </c>
      <c r="BM29" s="127">
        <v>0.13152952214552144</v>
      </c>
      <c r="BN29" s="127">
        <v>5.1724137931034482E-2</v>
      </c>
      <c r="BO29" s="128">
        <v>0.1293588930276045</v>
      </c>
      <c r="BP29" s="127">
        <v>0.1103080093933294</v>
      </c>
      <c r="BQ29" s="127">
        <v>4.8989304567379002E-2</v>
      </c>
      <c r="BR29" s="127">
        <v>2.9700000000000001E-2</v>
      </c>
      <c r="BS29" s="127">
        <v>3.1400000000000004E-2</v>
      </c>
      <c r="BT29" s="82"/>
      <c r="BU29" s="82"/>
      <c r="BV29" s="82"/>
      <c r="BW29" s="82"/>
      <c r="BX29" s="83">
        <f t="shared" si="9"/>
        <v>28414.015502750171</v>
      </c>
      <c r="BY29" s="83">
        <f t="shared" si="0"/>
        <v>20525.692878888596</v>
      </c>
      <c r="BZ29" s="83">
        <f t="shared" si="1"/>
        <v>6172.5167362270049</v>
      </c>
      <c r="CA29" s="83">
        <f t="shared" si="2"/>
        <v>0</v>
      </c>
      <c r="CB29" s="83">
        <f t="shared" si="3"/>
        <v>9113.2906105320599</v>
      </c>
      <c r="CC29" s="83">
        <f t="shared" si="4"/>
        <v>11692.309023746398</v>
      </c>
      <c r="CD29" s="83">
        <f t="shared" si="10"/>
        <v>4362.1650583895953</v>
      </c>
      <c r="CE29" s="83">
        <f t="shared" si="11"/>
        <v>1152.9628184632434</v>
      </c>
      <c r="CF29" s="84">
        <f t="shared" si="12"/>
        <v>81432.952628997067</v>
      </c>
      <c r="CH29" s="15">
        <f t="shared" si="5"/>
        <v>0</v>
      </c>
      <c r="CI29" s="5" t="e">
        <f>-#REF!</f>
        <v>#REF!</v>
      </c>
      <c r="CK29" s="4">
        <v>32000</v>
      </c>
      <c r="CL29" s="5" t="e">
        <f t="shared" si="13"/>
        <v>#REF!</v>
      </c>
      <c r="CM29" s="35" t="e">
        <f t="shared" si="14"/>
        <v>#REF!</v>
      </c>
      <c r="CN29" s="22" t="e">
        <f t="shared" si="6"/>
        <v>#REF!</v>
      </c>
      <c r="CR29" s="93" t="s">
        <v>41</v>
      </c>
      <c r="CS29" s="266">
        <f t="shared" si="15"/>
        <v>8721.9995002530413</v>
      </c>
      <c r="CT29" s="96"/>
      <c r="CU29" s="96">
        <f t="shared" si="16"/>
        <v>36700</v>
      </c>
      <c r="CV29" s="96">
        <f t="shared" si="19"/>
        <v>81432.952628997067</v>
      </c>
      <c r="CW29" s="96"/>
      <c r="CX29" s="267">
        <f t="shared" si="17"/>
        <v>126854.9521292501</v>
      </c>
      <c r="CY29" s="123">
        <f t="shared" si="18"/>
        <v>4.6143201710942078E-2</v>
      </c>
      <c r="CZ29" s="110"/>
      <c r="DA29" s="96"/>
      <c r="DB29" s="96">
        <v>5048</v>
      </c>
      <c r="DC29" s="175"/>
      <c r="DD29" s="150"/>
      <c r="DE29" s="150"/>
      <c r="DF29" s="194"/>
      <c r="DG29" s="195"/>
      <c r="DH29" s="196"/>
      <c r="DI29" s="165"/>
      <c r="DJ29" s="5"/>
      <c r="DL29" s="149"/>
      <c r="DM29" s="149"/>
      <c r="DN29" s="48"/>
      <c r="DO29" s="149"/>
      <c r="DP29" s="150"/>
      <c r="DQ29" s="150"/>
      <c r="DR29" s="150"/>
      <c r="DS29" s="150"/>
      <c r="DT29" s="112"/>
      <c r="DU29" s="111"/>
      <c r="DV29" s="113"/>
      <c r="DW29" s="98"/>
      <c r="DX29" s="48"/>
      <c r="DY29" s="5"/>
      <c r="DZ29" s="4"/>
      <c r="EA29" s="5"/>
      <c r="EB29" s="5"/>
      <c r="EC29" s="42"/>
      <c r="ED29" s="5"/>
      <c r="EF29" s="5"/>
      <c r="EG29" s="5"/>
      <c r="EH29" s="5"/>
      <c r="EI29" s="5"/>
      <c r="EK29" s="5"/>
      <c r="EL29" s="42"/>
      <c r="EP29" s="42"/>
      <c r="EQ29" s="42"/>
      <c r="ER29" s="42"/>
      <c r="EV29" s="42"/>
      <c r="EW29" s="5"/>
      <c r="EY29" s="32"/>
    </row>
    <row r="30" spans="1:155" x14ac:dyDescent="0.25">
      <c r="H30" s="3" t="s">
        <v>42</v>
      </c>
      <c r="I30" s="3" t="s">
        <v>43</v>
      </c>
      <c r="J30" s="42"/>
      <c r="K30" s="6"/>
      <c r="L30" s="242">
        <f>5374.09359118039*1.0362*1.006*1.0089*1.0057*1.0276*1.0091*1.0182*1.0155</f>
        <v>6094.452388267222</v>
      </c>
      <c r="M30" s="60"/>
      <c r="N30" s="60"/>
      <c r="O30" s="60"/>
      <c r="P30" s="60">
        <f>201.646662010286*1.0362*1.006*1.0089*1.0057*1.0276*1.0091*1.0182*1.0155</f>
        <v>228.67595437703829</v>
      </c>
      <c r="Q30" s="60"/>
      <c r="R30" s="60"/>
      <c r="S30" s="60">
        <f t="shared" si="20"/>
        <v>1228.4051043394493</v>
      </c>
      <c r="T30" s="60"/>
      <c r="U30" s="60">
        <v>-1625</v>
      </c>
      <c r="V30" s="60"/>
      <c r="W30" s="60"/>
      <c r="X30" s="60"/>
      <c r="Y30" s="60"/>
      <c r="Z30" s="60">
        <f>(1207*1.0089*1.0057*1.0276*1.0091*1.0182*1.0155)+1050</f>
        <v>2363.092027405462</v>
      </c>
      <c r="AA30" s="60">
        <v>-1535.2372904993699</v>
      </c>
      <c r="AB30" s="60"/>
      <c r="AC30" s="60"/>
      <c r="AD30" s="60"/>
      <c r="AE30" s="60">
        <f>233*1.006*1.0089*1.0057*1.0276*1.0091*1.0182*1.0155</f>
        <v>255.00094866593662</v>
      </c>
      <c r="AF30" s="60"/>
      <c r="AG30" s="60"/>
      <c r="AH30" s="60"/>
      <c r="AI30" s="60">
        <f>700*1.0057*1.0276*1.0091*1.0182*1.0155</f>
        <v>754.81029047264212</v>
      </c>
      <c r="AJ30" s="56"/>
      <c r="AK30" s="60">
        <f>840*1.0276*1.0091*1.0182*1.0155</f>
        <v>900.63870793195838</v>
      </c>
      <c r="AL30" s="60"/>
      <c r="AM30" s="60">
        <f>607*1.0276*1.0091*1.0182*1.0155</f>
        <v>650.81868537464129</v>
      </c>
      <c r="AN30" s="60">
        <f>3030*1.0276*1.0091*1.0182*1.0155</f>
        <v>3248.7324821831357</v>
      </c>
      <c r="AO30" s="60"/>
      <c r="AP30" s="255">
        <v>523.33333333333326</v>
      </c>
      <c r="AQ30" s="261">
        <v>650</v>
      </c>
      <c r="AR30" s="262">
        <f t="shared" si="7"/>
        <v>13737.722631851449</v>
      </c>
      <c r="AT30" s="21" t="e">
        <f>(J30+#REF!)/($J$31+#REF!)</f>
        <v>#REF!</v>
      </c>
      <c r="AU30" s="14" t="e">
        <f t="shared" si="8"/>
        <v>#REF!</v>
      </c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72"/>
      <c r="BG30" s="46"/>
      <c r="BH30" s="46"/>
      <c r="BI30" s="46"/>
      <c r="BJ30" s="46"/>
      <c r="BK30" s="65"/>
      <c r="BL30" s="127">
        <v>2.5633496909111587E-2</v>
      </c>
      <c r="BM30" s="127">
        <v>0.23514192939354803</v>
      </c>
      <c r="BN30" s="127">
        <v>4.8275862068965517E-2</v>
      </c>
      <c r="BO30" s="128">
        <v>0.26039995321440784</v>
      </c>
      <c r="BP30" s="127">
        <v>0.12135933002614502</v>
      </c>
      <c r="BQ30" s="127">
        <v>4.6880646742017265E-2</v>
      </c>
      <c r="BR30" s="127">
        <v>1.67E-2</v>
      </c>
      <c r="BS30" s="127">
        <v>2.0933333333333332E-2</v>
      </c>
      <c r="BT30" s="82"/>
      <c r="BU30" s="82"/>
      <c r="BV30" s="82"/>
      <c r="BW30" s="82"/>
      <c r="BX30" s="83">
        <f t="shared" si="9"/>
        <v>27060.222269034904</v>
      </c>
      <c r="BY30" s="83">
        <f t="shared" si="0"/>
        <v>36694.811529394836</v>
      </c>
      <c r="BZ30" s="83">
        <f t="shared" si="1"/>
        <v>5761.015620478538</v>
      </c>
      <c r="CA30" s="83">
        <f t="shared" si="2"/>
        <v>0</v>
      </c>
      <c r="CB30" s="83">
        <f t="shared" si="3"/>
        <v>10026.314942227671</v>
      </c>
      <c r="CC30" s="83">
        <f t="shared" si="4"/>
        <v>11189.034295982907</v>
      </c>
      <c r="CD30" s="83">
        <f t="shared" si="10"/>
        <v>2452.7998813167087</v>
      </c>
      <c r="CE30" s="83">
        <f t="shared" si="11"/>
        <v>768.64187897549539</v>
      </c>
      <c r="CF30" s="84">
        <f t="shared" si="12"/>
        <v>93952.840417411076</v>
      </c>
      <c r="CH30" s="15">
        <f t="shared" si="5"/>
        <v>0</v>
      </c>
      <c r="CI30" s="5" t="e">
        <f>-#REF!</f>
        <v>#REF!</v>
      </c>
      <c r="CK30" s="4">
        <v>32000</v>
      </c>
      <c r="CL30" s="5" t="e">
        <f t="shared" si="13"/>
        <v>#REF!</v>
      </c>
      <c r="CM30" s="35" t="e">
        <f t="shared" si="14"/>
        <v>#REF!</v>
      </c>
      <c r="CN30" s="22" t="e">
        <f t="shared" si="6"/>
        <v>#REF!</v>
      </c>
      <c r="CR30" s="93" t="s">
        <v>43</v>
      </c>
      <c r="CS30" s="266">
        <f t="shared" si="15"/>
        <v>13737.722631851449</v>
      </c>
      <c r="CT30" s="96"/>
      <c r="CU30" s="96">
        <f t="shared" si="16"/>
        <v>36700</v>
      </c>
      <c r="CV30" s="96">
        <f>CF30</f>
        <v>93952.840417411076</v>
      </c>
      <c r="CW30" s="96"/>
      <c r="CX30" s="267">
        <f t="shared" si="17"/>
        <v>144390.56304926254</v>
      </c>
      <c r="CY30" s="123">
        <f t="shared" si="18"/>
        <v>5.2521740492639031E-2</v>
      </c>
      <c r="CZ30" s="110"/>
      <c r="DA30" s="96"/>
      <c r="DB30" s="96">
        <v>5750</v>
      </c>
      <c r="DC30" s="175"/>
      <c r="DF30" s="194"/>
      <c r="DG30" s="195"/>
      <c r="DH30" s="196"/>
      <c r="DI30" s="165"/>
      <c r="DJ30" s="5"/>
      <c r="DL30" s="149"/>
      <c r="DM30" s="5"/>
      <c r="DN30" s="48"/>
      <c r="DO30" s="5"/>
      <c r="DP30" s="5"/>
      <c r="DQ30" s="5"/>
      <c r="DR30" s="5"/>
      <c r="DS30" s="150"/>
      <c r="DT30" s="112"/>
      <c r="DU30" s="111"/>
      <c r="DV30" s="113"/>
      <c r="DW30" s="98"/>
      <c r="DX30" s="48"/>
      <c r="DY30" s="5"/>
      <c r="DZ30" s="4"/>
      <c r="EA30" s="5"/>
      <c r="EB30" s="5"/>
      <c r="EC30" s="42"/>
      <c r="ED30" s="5"/>
      <c r="EF30" s="5"/>
      <c r="EG30" s="5"/>
      <c r="EH30" s="5"/>
      <c r="EI30" s="5"/>
      <c r="EK30" s="5"/>
      <c r="EL30" s="42"/>
      <c r="EP30" s="42"/>
      <c r="EQ30" s="42"/>
      <c r="ER30" s="42"/>
      <c r="EV30" s="42"/>
      <c r="EW30" s="5"/>
      <c r="EY30" s="32"/>
    </row>
    <row r="31" spans="1:155" x14ac:dyDescent="0.25">
      <c r="H31" s="3" t="s">
        <v>55</v>
      </c>
      <c r="J31" s="5"/>
      <c r="K31" s="5"/>
      <c r="L31" s="242">
        <f>SUM(L10:L30)</f>
        <v>14239.842242353503</v>
      </c>
      <c r="M31" s="60">
        <f t="shared" ref="M31:V31" si="21">SUM(M10:M30)</f>
        <v>923.20864270719642</v>
      </c>
      <c r="N31" s="60">
        <f t="shared" si="21"/>
        <v>0</v>
      </c>
      <c r="O31" s="60">
        <f t="shared" si="21"/>
        <v>119.1020595713738</v>
      </c>
      <c r="P31" s="60">
        <f t="shared" si="21"/>
        <v>1191.0205957137425</v>
      </c>
      <c r="Q31" s="60">
        <f t="shared" si="21"/>
        <v>85</v>
      </c>
      <c r="R31" s="60">
        <f t="shared" si="21"/>
        <v>690.56248190259646</v>
      </c>
      <c r="S31" s="60">
        <f t="shared" si="21"/>
        <v>12569.726649054835</v>
      </c>
      <c r="T31" s="60">
        <f t="shared" si="21"/>
        <v>377.09179947164529</v>
      </c>
      <c r="U31" s="60">
        <f t="shared" si="21"/>
        <v>-1930.3436210295858</v>
      </c>
      <c r="V31" s="60">
        <f t="shared" si="21"/>
        <v>0</v>
      </c>
      <c r="W31" s="60">
        <f t="shared" ref="W31:AC31" si="22">SUM(W10:W30)</f>
        <v>0</v>
      </c>
      <c r="X31" s="60">
        <f t="shared" si="22"/>
        <v>-1720</v>
      </c>
      <c r="Y31" s="60">
        <f t="shared" si="22"/>
        <v>-1150</v>
      </c>
      <c r="Z31" s="60">
        <f>SUM(Z10:Z30)</f>
        <v>9442.224816462789</v>
      </c>
      <c r="AA31" s="60">
        <f>SUM(AA10:AA30)</f>
        <v>-30000.000000000007</v>
      </c>
      <c r="AB31" s="60">
        <f>SUM(AB10:AB30)</f>
        <v>30000</v>
      </c>
      <c r="AC31" s="60">
        <f t="shared" si="22"/>
        <v>7375.5748383326754</v>
      </c>
      <c r="AD31" s="60">
        <f>SUM(AD10:AD30)</f>
        <v>969.19727067019573</v>
      </c>
      <c r="AE31" s="60">
        <f>SUM(AE10:AE30)</f>
        <v>-3.1263880373444408E-13</v>
      </c>
      <c r="AF31" s="60"/>
      <c r="AG31" s="60">
        <f t="shared" ref="AG31:AO31" si="23">SUM(AG10:AG30)</f>
        <v>4950</v>
      </c>
      <c r="AH31" s="60">
        <f t="shared" si="23"/>
        <v>0</v>
      </c>
      <c r="AI31" s="60">
        <f t="shared" si="23"/>
        <v>5391.5020748045872</v>
      </c>
      <c r="AJ31" s="56">
        <f t="shared" si="23"/>
        <v>5000</v>
      </c>
      <c r="AK31" s="60">
        <f t="shared" si="23"/>
        <v>16082.834070213543</v>
      </c>
      <c r="AL31" s="60">
        <f t="shared" si="23"/>
        <v>0</v>
      </c>
      <c r="AM31" s="60">
        <f t="shared" si="23"/>
        <v>0</v>
      </c>
      <c r="AN31" s="60">
        <f t="shared" si="23"/>
        <v>8148.6359289081956</v>
      </c>
      <c r="AO31" s="60">
        <f t="shared" si="23"/>
        <v>1773.7652730870004</v>
      </c>
      <c r="AP31" s="255">
        <f>SUM(AP10:AP30)</f>
        <v>25000</v>
      </c>
      <c r="AQ31" s="261">
        <f>SUM(AQ10:AQ30)</f>
        <v>15000</v>
      </c>
      <c r="AR31" s="262">
        <f>SUM(AR10:AR30)</f>
        <v>124528.94512222428</v>
      </c>
      <c r="AT31" s="21" t="e">
        <f>(J31+#REF!)/($J$31+#REF!)</f>
        <v>#REF!</v>
      </c>
      <c r="AU31" s="14" t="e">
        <f>SUM(AU10:AU30)</f>
        <v>#REF!</v>
      </c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72"/>
      <c r="BG31" s="46"/>
      <c r="BH31" s="46"/>
      <c r="BI31" s="46"/>
      <c r="BJ31" s="46"/>
      <c r="BK31" s="65"/>
      <c r="BL31" s="222">
        <f>SUM(BL10:BL30)</f>
        <v>1</v>
      </c>
      <c r="BM31" s="222">
        <f t="shared" ref="BM31:BR31" si="24">SUM(BM10:BM30)</f>
        <v>1</v>
      </c>
      <c r="BN31" s="222">
        <f t="shared" si="24"/>
        <v>0.99999999999999989</v>
      </c>
      <c r="BO31" s="129">
        <f t="shared" si="24"/>
        <v>0.99999987635502507</v>
      </c>
      <c r="BP31" s="222">
        <f t="shared" si="24"/>
        <v>1</v>
      </c>
      <c r="BQ31" s="222">
        <f t="shared" si="24"/>
        <v>1.0000000000000002</v>
      </c>
      <c r="BR31" s="222">
        <f t="shared" si="24"/>
        <v>1</v>
      </c>
      <c r="BS31" s="221">
        <f>SUM(BS10:BS30)</f>
        <v>1</v>
      </c>
      <c r="BT31" s="85"/>
      <c r="BU31" s="85"/>
      <c r="BV31" s="85"/>
      <c r="BW31" s="85"/>
      <c r="BX31" s="86">
        <f t="shared" ref="BX31:CD31" si="25">SUM(BX10:BX30)</f>
        <v>1055658.6315547209</v>
      </c>
      <c r="BY31" s="86">
        <f t="shared" si="25"/>
        <v>156053.88466461096</v>
      </c>
      <c r="BZ31" s="86">
        <f t="shared" si="25"/>
        <v>119335.32356705543</v>
      </c>
      <c r="CA31" s="86">
        <f t="shared" si="25"/>
        <v>0</v>
      </c>
      <c r="CB31" s="86">
        <f t="shared" si="25"/>
        <v>82616.76246949991</v>
      </c>
      <c r="CC31" s="86">
        <f t="shared" si="25"/>
        <v>238670.64713411086</v>
      </c>
      <c r="CD31" s="86">
        <f t="shared" si="25"/>
        <v>146874.24439022204</v>
      </c>
      <c r="CE31" s="200">
        <f>SUM(CE10:CE30)</f>
        <v>36718.561097555525</v>
      </c>
      <c r="CF31" s="84">
        <f>SUM(CF10:CF30)</f>
        <v>1835928.0548777757</v>
      </c>
      <c r="CH31" s="16">
        <f>SUM(CH10:CH30)</f>
        <v>0</v>
      </c>
      <c r="CI31" s="17" t="e">
        <f>SUM(CI10:CI30)</f>
        <v>#REF!</v>
      </c>
      <c r="CJ31" s="17"/>
      <c r="CK31" s="17"/>
      <c r="CL31" s="17" t="e">
        <f>SUM(CL10:CL30)</f>
        <v>#REF!</v>
      </c>
      <c r="CM31" s="41" t="e">
        <f>SUM(CM10:CM30)</f>
        <v>#REF!</v>
      </c>
      <c r="CN31" s="18" t="e">
        <f>SUM(CN9:CN30)</f>
        <v>#REF!</v>
      </c>
      <c r="CR31" s="93"/>
      <c r="CS31" s="266">
        <f>SUM(CS10:CS30)</f>
        <v>124528.94512222428</v>
      </c>
      <c r="CT31" s="97">
        <f>SUM(CT10:CT30)</f>
        <v>18000</v>
      </c>
      <c r="CU31" s="97">
        <f>SUM(CU10:CU30)</f>
        <v>770700</v>
      </c>
      <c r="CV31" s="97">
        <f>SUM(CV10:CV30)</f>
        <v>1835928.0548777757</v>
      </c>
      <c r="CW31" s="97"/>
      <c r="CX31" s="268">
        <f>SUM(CX10:CX30)</f>
        <v>2749158</v>
      </c>
      <c r="CY31" s="124">
        <f t="shared" si="18"/>
        <v>1</v>
      </c>
      <c r="CZ31" s="125"/>
      <c r="DA31" s="97"/>
      <c r="DB31" s="97">
        <f>SUM(DB10:DB30)</f>
        <v>109369</v>
      </c>
      <c r="DC31" s="175"/>
      <c r="DF31" s="194"/>
      <c r="DG31" s="195"/>
      <c r="DH31" s="196"/>
      <c r="DI31" s="165"/>
      <c r="DJ31" s="5"/>
      <c r="DS31" s="150"/>
      <c r="DT31" s="112"/>
      <c r="DU31" s="112"/>
      <c r="DV31" s="113"/>
      <c r="DW31" s="98"/>
      <c r="DX31" s="48"/>
      <c r="DY31" s="5"/>
      <c r="DZ31" s="5"/>
      <c r="EA31" s="5"/>
      <c r="EB31" s="5"/>
      <c r="EC31" s="42"/>
      <c r="ED31" s="5"/>
      <c r="EE31" s="42"/>
      <c r="EF31" s="5"/>
      <c r="EG31" s="5"/>
      <c r="EH31" s="5"/>
      <c r="EI31" s="5"/>
      <c r="EK31" s="5"/>
      <c r="EL31" s="42"/>
      <c r="EP31" s="42"/>
      <c r="EQ31" s="42"/>
      <c r="ER31" s="42"/>
      <c r="EV31" s="42"/>
      <c r="EW31" s="5"/>
      <c r="EY31" s="142"/>
    </row>
    <row r="32" spans="1:155" ht="16.5" thickBot="1" x14ac:dyDescent="0.3">
      <c r="J32" s="5"/>
      <c r="K32" s="6"/>
      <c r="L32" s="243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6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6"/>
      <c r="AK32" s="57"/>
      <c r="AL32" s="57"/>
      <c r="AM32" s="57"/>
      <c r="AN32" s="57"/>
      <c r="AO32" s="57"/>
      <c r="AP32" s="256"/>
      <c r="AQ32" s="256"/>
      <c r="AR32" s="254">
        <f>SUM(L32:AO32)</f>
        <v>0</v>
      </c>
      <c r="AT32" s="20"/>
      <c r="AU32" s="13"/>
      <c r="BF32" s="64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7"/>
      <c r="CR32" s="114"/>
      <c r="CS32" s="115"/>
      <c r="CT32" s="115"/>
      <c r="CU32" s="115"/>
      <c r="CV32" s="115"/>
      <c r="CW32" s="115"/>
      <c r="CX32" s="115"/>
      <c r="CY32" s="115"/>
      <c r="CZ32" s="115"/>
      <c r="DA32" s="116"/>
      <c r="DB32" s="116"/>
      <c r="DC32" s="176"/>
      <c r="DF32" s="189"/>
      <c r="DG32" s="190"/>
      <c r="DH32" s="190"/>
      <c r="DJ32" s="5"/>
      <c r="DS32" s="5"/>
      <c r="DT32" s="97"/>
      <c r="DU32" s="96"/>
      <c r="DV32" s="106"/>
      <c r="DW32" s="106"/>
      <c r="DX32" s="4"/>
      <c r="DY32" s="4"/>
      <c r="DZ32" s="4"/>
      <c r="EA32" s="4"/>
      <c r="EB32" s="4"/>
      <c r="EC32" s="4"/>
      <c r="ED32" s="4"/>
      <c r="EE32" s="4"/>
      <c r="EP32" s="42"/>
      <c r="EV32" s="42"/>
      <c r="EW32" s="5"/>
    </row>
    <row r="33" spans="8:154" ht="16.5" thickBot="1" x14ac:dyDescent="0.3">
      <c r="H33" s="3" t="s">
        <v>44</v>
      </c>
      <c r="J33" s="5"/>
      <c r="K33" s="5"/>
      <c r="L33" s="242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56"/>
      <c r="AK33" s="60"/>
      <c r="AL33" s="60"/>
      <c r="AM33" s="60"/>
      <c r="AN33" s="60"/>
      <c r="AO33" s="60"/>
      <c r="AP33" s="255"/>
      <c r="AQ33" s="255"/>
      <c r="AR33" s="254">
        <f>SUM(L33:AO33)</f>
        <v>0</v>
      </c>
      <c r="AS33" s="5"/>
      <c r="AT33" s="20"/>
      <c r="AU33" s="13"/>
      <c r="BF33" s="87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9"/>
      <c r="DF33" s="189"/>
      <c r="DG33" s="190"/>
      <c r="DH33" s="190"/>
      <c r="EP33" s="42"/>
      <c r="ER33" s="42"/>
      <c r="EV33" s="42"/>
      <c r="EW33" s="5"/>
    </row>
    <row r="34" spans="8:154" x14ac:dyDescent="0.25">
      <c r="H34" s="3" t="s">
        <v>45</v>
      </c>
      <c r="J34" s="5"/>
      <c r="K34" s="5"/>
      <c r="L34" s="242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6"/>
      <c r="AK34" s="57"/>
      <c r="AL34" s="57"/>
      <c r="AM34" s="57"/>
      <c r="AN34" s="57"/>
      <c r="AO34" s="57"/>
      <c r="AP34" s="256"/>
      <c r="AQ34" s="256"/>
      <c r="AR34" s="254">
        <f>SUM(L34:AO34)</f>
        <v>0</v>
      </c>
      <c r="AT34" s="20"/>
      <c r="AU34" s="13"/>
      <c r="CR34" s="3" t="s">
        <v>119</v>
      </c>
      <c r="CX34" s="3">
        <f>-C5</f>
        <v>1969</v>
      </c>
      <c r="DF34" s="189"/>
      <c r="DG34" s="190"/>
      <c r="DH34" s="196"/>
      <c r="EP34" s="42"/>
      <c r="ER34" s="42"/>
      <c r="EV34" s="42"/>
      <c r="EW34" s="5"/>
    </row>
    <row r="35" spans="8:154" x14ac:dyDescent="0.25">
      <c r="H35" s="3" t="s">
        <v>46</v>
      </c>
      <c r="J35" s="5"/>
      <c r="K35" s="5"/>
      <c r="L35" s="242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6"/>
      <c r="AK35" s="57"/>
      <c r="AL35" s="57"/>
      <c r="AM35" s="60"/>
      <c r="AN35" s="57"/>
      <c r="AO35" s="57"/>
      <c r="AP35" s="256"/>
      <c r="AQ35" s="256"/>
      <c r="AR35" s="254">
        <f>SUM(L35:AO35)</f>
        <v>0</v>
      </c>
      <c r="AT35" s="20"/>
      <c r="AU35" s="13"/>
      <c r="BK35" s="34"/>
      <c r="BL35" s="168" t="s">
        <v>56</v>
      </c>
      <c r="BM35" s="168"/>
      <c r="BN35" s="168"/>
      <c r="BO35" s="34"/>
      <c r="BP35" s="169">
        <f>C16</f>
        <v>1835928.0548777757</v>
      </c>
      <c r="BQ35" s="34"/>
      <c r="BR35" s="34"/>
      <c r="BS35" s="34"/>
      <c r="BT35" s="34"/>
      <c r="BU35" s="34"/>
      <c r="BV35" s="34"/>
      <c r="BW35" s="34"/>
      <c r="BX35" s="34"/>
      <c r="CR35" s="3" t="s">
        <v>158</v>
      </c>
      <c r="CV35" s="34"/>
      <c r="CX35" s="42"/>
      <c r="DF35" s="189"/>
      <c r="DG35" s="190"/>
      <c r="DH35" s="190"/>
      <c r="EP35" s="42"/>
      <c r="ER35" s="42"/>
      <c r="EV35" s="42"/>
      <c r="EW35" s="5"/>
    </row>
    <row r="36" spans="8:154" ht="16.5" thickBot="1" x14ac:dyDescent="0.3">
      <c r="J36" s="5"/>
      <c r="K36" s="5"/>
      <c r="L36" s="242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6"/>
      <c r="AK36" s="57"/>
      <c r="AL36" s="57"/>
      <c r="AM36" s="57"/>
      <c r="AN36" s="57"/>
      <c r="AO36" s="57"/>
      <c r="AP36" s="256"/>
      <c r="AQ36" s="256"/>
      <c r="AR36" s="254">
        <f>SUM(L36:AC36)</f>
        <v>0</v>
      </c>
      <c r="AT36" s="20"/>
      <c r="AU36" s="13"/>
      <c r="BL36" s="2" t="s">
        <v>57</v>
      </c>
      <c r="BM36" s="2"/>
      <c r="BN36" s="24" t="s">
        <v>58</v>
      </c>
      <c r="BP36" s="23"/>
      <c r="BQ36" s="33"/>
      <c r="BR36" s="33"/>
      <c r="BS36" s="228"/>
      <c r="BT36" s="228"/>
      <c r="CR36" s="3" t="s">
        <v>181</v>
      </c>
      <c r="CV36" s="34"/>
      <c r="CX36" s="42">
        <v>-1</v>
      </c>
      <c r="DF36" s="189"/>
      <c r="DG36" s="190"/>
      <c r="DH36" s="189"/>
      <c r="EP36" s="42"/>
      <c r="ER36" s="42"/>
      <c r="EV36" s="42"/>
      <c r="EW36" s="5"/>
    </row>
    <row r="37" spans="8:154" s="34" customFormat="1" ht="16.5" thickBot="1" x14ac:dyDescent="0.3">
      <c r="H37" s="34" t="s">
        <v>54</v>
      </c>
      <c r="J37" s="136"/>
      <c r="K37" s="136"/>
      <c r="L37" s="244">
        <f t="shared" ref="L37:W37" si="26">SUM(L31:L35)</f>
        <v>14239.842242353503</v>
      </c>
      <c r="M37" s="159">
        <f t="shared" si="26"/>
        <v>923.20864270719642</v>
      </c>
      <c r="N37" s="159">
        <f t="shared" si="26"/>
        <v>0</v>
      </c>
      <c r="O37" s="159">
        <f t="shared" si="26"/>
        <v>119.1020595713738</v>
      </c>
      <c r="P37" s="159">
        <f t="shared" si="26"/>
        <v>1191.0205957137425</v>
      </c>
      <c r="Q37" s="159">
        <f t="shared" si="26"/>
        <v>85</v>
      </c>
      <c r="R37" s="159">
        <f t="shared" si="26"/>
        <v>690.56248190259646</v>
      </c>
      <c r="S37" s="159">
        <f t="shared" si="26"/>
        <v>12569.726649054835</v>
      </c>
      <c r="T37" s="159">
        <f t="shared" si="26"/>
        <v>377.09179947164529</v>
      </c>
      <c r="U37" s="159">
        <f t="shared" si="26"/>
        <v>-1930.3436210295858</v>
      </c>
      <c r="V37" s="159">
        <f t="shared" si="26"/>
        <v>0</v>
      </c>
      <c r="W37" s="159">
        <f t="shared" si="26"/>
        <v>0</v>
      </c>
      <c r="X37" s="159">
        <f t="shared" ref="X37:AD37" si="27">SUM(X31:X35)</f>
        <v>-1720</v>
      </c>
      <c r="Y37" s="159">
        <f t="shared" si="27"/>
        <v>-1150</v>
      </c>
      <c r="Z37" s="159">
        <f t="shared" si="27"/>
        <v>9442.224816462789</v>
      </c>
      <c r="AA37" s="159">
        <f t="shared" si="27"/>
        <v>-30000.000000000007</v>
      </c>
      <c r="AB37" s="159">
        <f t="shared" si="27"/>
        <v>30000</v>
      </c>
      <c r="AC37" s="159">
        <f t="shared" si="27"/>
        <v>7375.5748383326754</v>
      </c>
      <c r="AD37" s="159">
        <f t="shared" si="27"/>
        <v>969.19727067019573</v>
      </c>
      <c r="AE37" s="159">
        <f t="shared" ref="AE37:AO37" si="28">SUM(AE31:AE36)</f>
        <v>-3.1263880373444408E-13</v>
      </c>
      <c r="AF37" s="159"/>
      <c r="AG37" s="159">
        <f t="shared" si="28"/>
        <v>4950</v>
      </c>
      <c r="AH37" s="159">
        <f t="shared" si="28"/>
        <v>0</v>
      </c>
      <c r="AI37" s="159">
        <f t="shared" si="28"/>
        <v>5391.5020748045872</v>
      </c>
      <c r="AJ37" s="257">
        <f t="shared" si="28"/>
        <v>5000</v>
      </c>
      <c r="AK37" s="159">
        <f>SUM(AK31:AK36)</f>
        <v>16082.834070213543</v>
      </c>
      <c r="AL37" s="159">
        <f>SUM(AL31:AL36)</f>
        <v>0</v>
      </c>
      <c r="AM37" s="159">
        <f>SUM(AM31:AM36)</f>
        <v>0</v>
      </c>
      <c r="AN37" s="159">
        <f t="shared" si="28"/>
        <v>8148.6359289081956</v>
      </c>
      <c r="AO37" s="159">
        <f t="shared" si="28"/>
        <v>1773.7652730870004</v>
      </c>
      <c r="AP37" s="159">
        <f>SUM(AP31:AP36)</f>
        <v>25000</v>
      </c>
      <c r="AQ37" s="159"/>
      <c r="AR37" s="188">
        <f>SUM(AR31:AR35)</f>
        <v>124528.94512222428</v>
      </c>
      <c r="AT37" s="166"/>
      <c r="AU37" s="167"/>
      <c r="BK37" s="3">
        <v>1</v>
      </c>
      <c r="BL37" s="2" t="s">
        <v>59</v>
      </c>
      <c r="BM37" s="2"/>
      <c r="BN37" s="138">
        <v>0.57499999999999996</v>
      </c>
      <c r="BO37" s="3"/>
      <c r="BP37" s="23">
        <f>BN37*$BP$35</f>
        <v>1055658.6315547209</v>
      </c>
      <c r="BQ37" s="28"/>
      <c r="BR37" s="28"/>
      <c r="BS37" s="29"/>
      <c r="BT37" s="229"/>
      <c r="BU37" s="3"/>
      <c r="BV37" s="3"/>
      <c r="BW37" s="3"/>
      <c r="BX37" s="3"/>
      <c r="CH37" s="8"/>
      <c r="CI37" s="8"/>
      <c r="CJ37" s="8"/>
      <c r="CK37" s="8"/>
      <c r="CL37" s="8"/>
      <c r="CM37" s="170"/>
      <c r="CN37" s="8"/>
      <c r="CR37" s="3" t="s">
        <v>0</v>
      </c>
      <c r="CS37" s="3"/>
      <c r="CT37" s="3"/>
      <c r="CU37" s="3"/>
      <c r="CW37" s="3"/>
      <c r="CX37" s="42">
        <f>SUM(CX31+CX34+CX35+CX36)</f>
        <v>2751126</v>
      </c>
      <c r="DA37" s="152"/>
      <c r="DB37" s="152"/>
      <c r="DC37" s="152"/>
      <c r="DD37" s="136"/>
      <c r="DE37" s="136"/>
      <c r="DF37" s="177"/>
      <c r="DG37" s="158"/>
      <c r="DH37" s="158"/>
      <c r="DI37" s="158"/>
      <c r="DJ37" s="152"/>
      <c r="DK37" s="136"/>
      <c r="DL37" s="152"/>
      <c r="DM37" s="152"/>
      <c r="DN37" s="152"/>
      <c r="DO37" s="152"/>
      <c r="DP37" s="152"/>
      <c r="DQ37" s="152"/>
      <c r="DR37" s="152"/>
      <c r="DS37" s="152"/>
      <c r="DT37" s="136"/>
      <c r="DU37" s="152"/>
      <c r="DV37" s="8"/>
      <c r="EF37" s="8"/>
      <c r="EG37" s="8"/>
      <c r="EH37" s="8"/>
      <c r="EI37" s="8"/>
      <c r="EJ37" s="8"/>
      <c r="EK37" s="8"/>
      <c r="EP37" s="152"/>
      <c r="ER37" s="152"/>
      <c r="ET37" s="8"/>
      <c r="EU37" s="8"/>
      <c r="EV37" s="152"/>
      <c r="EW37" s="136"/>
      <c r="EX37" s="152"/>
    </row>
    <row r="38" spans="8:154" x14ac:dyDescent="0.25">
      <c r="X38" s="219"/>
      <c r="Y38" s="219" t="s">
        <v>140</v>
      </c>
      <c r="BL38" s="2"/>
      <c r="BM38" s="2"/>
      <c r="BN38" s="140"/>
      <c r="BP38" s="23"/>
      <c r="BQ38" s="28"/>
      <c r="BR38" s="28"/>
      <c r="BS38" s="29"/>
      <c r="BT38" s="229"/>
    </row>
    <row r="39" spans="8:154" x14ac:dyDescent="0.25">
      <c r="X39" s="219"/>
      <c r="Y39" s="219" t="s">
        <v>136</v>
      </c>
      <c r="BK39" s="3">
        <v>2</v>
      </c>
      <c r="BL39" s="2" t="s">
        <v>60</v>
      </c>
      <c r="BM39" s="2"/>
      <c r="BN39" s="140">
        <v>8.5000000000000006E-2</v>
      </c>
      <c r="BP39" s="23">
        <f t="shared" ref="BP39:BP45" si="29">BN39*$BP$35</f>
        <v>156053.88466461096</v>
      </c>
      <c r="BQ39" s="30"/>
      <c r="BR39" s="30"/>
      <c r="BS39" s="29"/>
      <c r="BT39" s="229"/>
      <c r="BU39" s="33"/>
      <c r="BV39" s="33"/>
      <c r="BW39" s="33"/>
    </row>
    <row r="40" spans="8:154" ht="15" customHeight="1" x14ac:dyDescent="0.25">
      <c r="X40" s="219"/>
      <c r="Y40" s="219" t="s">
        <v>137</v>
      </c>
      <c r="BK40" s="3">
        <v>3</v>
      </c>
      <c r="BL40" s="2" t="s">
        <v>61</v>
      </c>
      <c r="BM40" s="2"/>
      <c r="BN40" s="139">
        <v>6.5000000000000002E-2</v>
      </c>
      <c r="BP40" s="23">
        <f t="shared" si="29"/>
        <v>119335.32356705543</v>
      </c>
      <c r="BQ40" s="28"/>
      <c r="BR40" s="28"/>
      <c r="BS40" s="29"/>
      <c r="BT40" s="229"/>
      <c r="BU40" s="28"/>
      <c r="BV40" s="28"/>
      <c r="BW40" s="28"/>
    </row>
    <row r="41" spans="8:154" ht="1.5" hidden="1" customHeight="1" x14ac:dyDescent="0.25">
      <c r="BL41" s="2" t="s">
        <v>62</v>
      </c>
      <c r="BM41" s="2"/>
      <c r="BN41" s="140">
        <v>0</v>
      </c>
      <c r="BP41" s="23">
        <f t="shared" si="29"/>
        <v>0</v>
      </c>
      <c r="BQ41" s="30"/>
      <c r="BR41" s="30"/>
      <c r="BS41" s="31"/>
      <c r="BT41" s="230"/>
      <c r="BU41" s="28"/>
      <c r="BV41" s="28"/>
      <c r="BW41" s="28"/>
    </row>
    <row r="42" spans="8:154" x14ac:dyDescent="0.25">
      <c r="BK42" s="3">
        <v>4</v>
      </c>
      <c r="BL42" s="2" t="s">
        <v>63</v>
      </c>
      <c r="BM42" s="2"/>
      <c r="BN42" s="140">
        <v>4.4999999999999998E-2</v>
      </c>
      <c r="BP42" s="23">
        <f t="shared" si="29"/>
        <v>82616.76246949991</v>
      </c>
      <c r="BQ42" s="28"/>
      <c r="BR42" s="30"/>
      <c r="BS42" s="31"/>
      <c r="BT42" s="231"/>
      <c r="BU42" s="30"/>
      <c r="BV42" s="30"/>
      <c r="BW42" s="30"/>
    </row>
    <row r="43" spans="8:154" x14ac:dyDescent="0.25">
      <c r="BK43" s="3">
        <v>5</v>
      </c>
      <c r="BL43" s="2" t="s">
        <v>64</v>
      </c>
      <c r="BM43" s="2"/>
      <c r="BN43" s="25">
        <v>0.13</v>
      </c>
      <c r="BP43" s="23">
        <f t="shared" si="29"/>
        <v>238670.64713411086</v>
      </c>
      <c r="BQ43" s="28"/>
      <c r="BR43" s="30"/>
      <c r="BS43" s="31"/>
      <c r="BT43" s="231"/>
      <c r="BU43" s="28"/>
      <c r="BV43" s="28"/>
      <c r="BW43" s="28"/>
    </row>
    <row r="44" spans="8:154" x14ac:dyDescent="0.25">
      <c r="BK44" s="3">
        <v>6</v>
      </c>
      <c r="BL44" s="2" t="s">
        <v>131</v>
      </c>
      <c r="BM44" s="2"/>
      <c r="BN44" s="25">
        <v>0.08</v>
      </c>
      <c r="BP44" s="23">
        <f t="shared" si="29"/>
        <v>146874.24439022207</v>
      </c>
      <c r="BQ44" s="30"/>
      <c r="BR44" s="30"/>
      <c r="BS44" s="29"/>
      <c r="BT44" s="229"/>
      <c r="BU44" s="30"/>
      <c r="BV44" s="30"/>
      <c r="BW44" s="30"/>
    </row>
    <row r="45" spans="8:154" ht="12.75" customHeight="1" x14ac:dyDescent="0.25">
      <c r="AN45" s="5"/>
      <c r="BK45" s="3">
        <v>7</v>
      </c>
      <c r="BL45" s="2" t="s">
        <v>132</v>
      </c>
      <c r="BM45" s="2"/>
      <c r="BN45" s="25">
        <v>0.02</v>
      </c>
      <c r="BP45" s="23">
        <f t="shared" si="29"/>
        <v>36718.561097555517</v>
      </c>
      <c r="BQ45" s="30"/>
      <c r="BR45" s="30"/>
      <c r="BS45" s="29"/>
      <c r="BT45" s="229"/>
      <c r="BU45" s="30"/>
      <c r="BV45" s="30"/>
      <c r="BW45" s="30"/>
    </row>
    <row r="46" spans="8:154" ht="12.75" customHeight="1" thickBot="1" x14ac:dyDescent="0.3">
      <c r="BL46" s="26"/>
      <c r="BM46" s="26"/>
      <c r="BN46" s="201">
        <f>SUM(BN37:BN45)</f>
        <v>0.99999999999999989</v>
      </c>
      <c r="BP46" s="27">
        <f>SUM(BP37:BP45)</f>
        <v>1835928.0548777755</v>
      </c>
      <c r="BS46" s="42"/>
      <c r="BU46" s="30"/>
      <c r="BV46" s="30"/>
      <c r="BW46" s="30"/>
    </row>
    <row r="47" spans="8:154" ht="14.25" customHeight="1" x14ac:dyDescent="0.25">
      <c r="BU47" s="30"/>
      <c r="BV47" s="30"/>
      <c r="BW47" s="30"/>
    </row>
    <row r="48" spans="8:154" ht="10.5" customHeight="1" x14ac:dyDescent="0.25">
      <c r="BK48" s="51" t="s">
        <v>112</v>
      </c>
      <c r="BN48" s="130">
        <f>BN37+BN39+BN40</f>
        <v>0.72499999999999987</v>
      </c>
      <c r="BU48" s="30"/>
      <c r="BV48" s="30"/>
      <c r="BW48" s="30"/>
    </row>
    <row r="49" spans="63:66" x14ac:dyDescent="0.25">
      <c r="BK49" s="202" t="s">
        <v>133</v>
      </c>
      <c r="BN49" s="130">
        <f>BN42+BN43+BN44+BN45</f>
        <v>0.27500000000000002</v>
      </c>
    </row>
    <row r="50" spans="63:66" ht="12" customHeight="1" x14ac:dyDescent="0.25"/>
  </sheetData>
  <phoneticPr fontId="4" type="noConversion"/>
  <hyperlinks>
    <hyperlink ref="BM3" r:id="rId1"/>
  </hyperlinks>
  <pageMargins left="0.19685039370078741" right="0.19685039370078741" top="0.39370078740157483" bottom="0.39370078740157483" header="0.43307086614173229" footer="0.51181102362204722"/>
  <pageSetup paperSize="9" scale="73" orientation="landscape" r:id="rId2"/>
  <headerFooter alignWithMargins="0">
    <oddHeader>&amp;LBilaga 3 till regeringsbeslut 2016-12-22 nr III 4   &amp;RBilaga 1 till regeringsbeslut 2017-06-29 nr III 1</oddHeader>
  </headerFooter>
  <colBreaks count="4" manualBreakCount="4">
    <brk id="6" max="1048575" man="1"/>
    <brk id="11" max="1048575" man="1"/>
    <brk id="55" max="48" man="1"/>
    <brk id="94" max="48" man="1"/>
  </colBreaks>
  <ignoredErrors>
    <ignoredError sqref="AL31:AM31 AP31:AQ31 AO31 DB31" formulaRange="1"/>
    <ignoredError sqref="AR31 AR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workbookViewId="0">
      <selection activeCell="H5" sqref="H5:H25"/>
    </sheetView>
  </sheetViews>
  <sheetFormatPr defaultRowHeight="12.75" x14ac:dyDescent="0.2"/>
  <cols>
    <col min="6" max="6" width="10.85546875" style="45" bestFit="1" customWidth="1"/>
    <col min="8" max="8" width="9.140625" style="1"/>
  </cols>
  <sheetData>
    <row r="1" spans="2:9" ht="13.5" thickBot="1" x14ac:dyDescent="0.25"/>
    <row r="2" spans="2:9" x14ac:dyDescent="0.2">
      <c r="B2" s="203"/>
      <c r="C2" s="204"/>
      <c r="D2" s="204"/>
      <c r="E2" s="204"/>
      <c r="F2" s="205"/>
      <c r="G2" s="204"/>
      <c r="H2" s="206"/>
      <c r="I2" s="207"/>
    </row>
    <row r="3" spans="2:9" x14ac:dyDescent="0.2">
      <c r="B3" s="208"/>
      <c r="C3" s="53"/>
      <c r="D3" s="53"/>
      <c r="E3" s="53"/>
      <c r="F3" s="209" t="s">
        <v>75</v>
      </c>
      <c r="G3" s="53"/>
      <c r="H3" s="210">
        <v>30000</v>
      </c>
      <c r="I3" s="211"/>
    </row>
    <row r="4" spans="2:9" x14ac:dyDescent="0.2">
      <c r="B4" s="208"/>
      <c r="C4" s="53"/>
      <c r="D4" s="53"/>
      <c r="E4" s="53"/>
      <c r="F4" s="209" t="s">
        <v>130</v>
      </c>
      <c r="G4" s="53"/>
      <c r="H4" s="210"/>
      <c r="I4" s="211"/>
    </row>
    <row r="5" spans="2:9" x14ac:dyDescent="0.2">
      <c r="B5" s="208"/>
      <c r="C5" s="3" t="s">
        <v>12</v>
      </c>
      <c r="D5" s="3" t="s">
        <v>8</v>
      </c>
      <c r="E5" s="53"/>
      <c r="F5" s="212">
        <f>'RB 2017'!CF10</f>
        <v>271403.87243818864</v>
      </c>
      <c r="G5" s="213">
        <f>F5/$F$32</f>
        <v>0.14782925274065653</v>
      </c>
      <c r="H5" s="210">
        <f>G5*$H$3</f>
        <v>4434.8775822196958</v>
      </c>
      <c r="I5" s="227"/>
    </row>
    <row r="6" spans="2:9" x14ac:dyDescent="0.2">
      <c r="B6" s="208"/>
      <c r="C6" s="3" t="s">
        <v>13</v>
      </c>
      <c r="D6" s="3" t="s">
        <v>2</v>
      </c>
      <c r="E6" s="53"/>
      <c r="F6" s="212">
        <f>'RB 2017'!CF11</f>
        <v>58675.97437220467</v>
      </c>
      <c r="G6" s="213">
        <f t="shared" ref="G6:G32" si="0">F6/$F$32</f>
        <v>3.1959844077937435E-2</v>
      </c>
      <c r="H6" s="210">
        <f t="shared" ref="H6:H25" si="1">G6*$H$3</f>
        <v>958.79532233812301</v>
      </c>
      <c r="I6" s="227"/>
    </row>
    <row r="7" spans="2:9" x14ac:dyDescent="0.2">
      <c r="B7" s="208"/>
      <c r="C7" s="3" t="s">
        <v>14</v>
      </c>
      <c r="D7" s="3" t="s">
        <v>15</v>
      </c>
      <c r="E7" s="53"/>
      <c r="F7" s="212">
        <f>'RB 2017'!CF12</f>
        <v>50920.414446871444</v>
      </c>
      <c r="G7" s="213">
        <f t="shared" si="0"/>
        <v>2.7735517364955456E-2</v>
      </c>
      <c r="H7" s="210">
        <f t="shared" si="1"/>
        <v>832.06552094866367</v>
      </c>
      <c r="I7" s="227"/>
    </row>
    <row r="8" spans="2:9" x14ac:dyDescent="0.2">
      <c r="B8" s="208"/>
      <c r="C8" s="3" t="s">
        <v>16</v>
      </c>
      <c r="D8" s="3" t="s">
        <v>17</v>
      </c>
      <c r="E8" s="53"/>
      <c r="F8" s="212">
        <f>'RB 2017'!CF13</f>
        <v>82651.978768860703</v>
      </c>
      <c r="G8" s="213">
        <f t="shared" si="0"/>
        <v>4.5019181742589114E-2</v>
      </c>
      <c r="H8" s="210">
        <f t="shared" si="1"/>
        <v>1350.5754522776733</v>
      </c>
      <c r="I8" s="227"/>
    </row>
    <row r="9" spans="2:9" x14ac:dyDescent="0.2">
      <c r="B9" s="208"/>
      <c r="C9" s="3" t="s">
        <v>18</v>
      </c>
      <c r="D9" s="3" t="s">
        <v>19</v>
      </c>
      <c r="E9" s="53"/>
      <c r="F9" s="212">
        <f>'RB 2017'!CF14</f>
        <v>73778.349813134089</v>
      </c>
      <c r="G9" s="213">
        <f t="shared" si="0"/>
        <v>4.0185861105568092E-2</v>
      </c>
      <c r="H9" s="210">
        <f t="shared" si="1"/>
        <v>1205.5758331670427</v>
      </c>
      <c r="I9" s="227"/>
    </row>
    <row r="10" spans="2:9" x14ac:dyDescent="0.2">
      <c r="B10" s="208"/>
      <c r="C10" s="3" t="s">
        <v>20</v>
      </c>
      <c r="D10" s="3" t="s">
        <v>1</v>
      </c>
      <c r="E10" s="53"/>
      <c r="F10" s="212">
        <f>'RB 2017'!CF15</f>
        <v>43455.442915175132</v>
      </c>
      <c r="G10" s="213">
        <f t="shared" si="0"/>
        <v>2.3669469399806145E-2</v>
      </c>
      <c r="H10" s="210">
        <f t="shared" si="1"/>
        <v>710.08408199418432</v>
      </c>
      <c r="I10" s="227"/>
    </row>
    <row r="11" spans="2:9" x14ac:dyDescent="0.2">
      <c r="B11" s="208"/>
      <c r="C11" s="3" t="s">
        <v>21</v>
      </c>
      <c r="D11" s="3" t="s">
        <v>3</v>
      </c>
      <c r="E11" s="53"/>
      <c r="F11" s="212">
        <f>'RB 2017'!CF16</f>
        <v>59157.645641105933</v>
      </c>
      <c r="G11" s="213">
        <f t="shared" si="0"/>
        <v>3.2222202544338954E-2</v>
      </c>
      <c r="H11" s="210">
        <f t="shared" si="1"/>
        <v>966.66607633016861</v>
      </c>
      <c r="I11" s="227"/>
    </row>
    <row r="12" spans="2:9" x14ac:dyDescent="0.2">
      <c r="B12" s="208"/>
      <c r="C12" s="3" t="s">
        <v>22</v>
      </c>
      <c r="D12" s="3" t="s">
        <v>7</v>
      </c>
      <c r="E12" s="53"/>
      <c r="F12" s="212">
        <f>'RB 2017'!CF17</f>
        <v>18921.674022095271</v>
      </c>
      <c r="G12" s="213">
        <f t="shared" si="0"/>
        <v>1.0306326531599821E-2</v>
      </c>
      <c r="H12" s="210">
        <f t="shared" si="1"/>
        <v>309.18979594799464</v>
      </c>
      <c r="I12" s="227"/>
    </row>
    <row r="13" spans="2:9" x14ac:dyDescent="0.2">
      <c r="B13" s="208"/>
      <c r="C13" s="3" t="s">
        <v>23</v>
      </c>
      <c r="D13" s="3" t="s">
        <v>4</v>
      </c>
      <c r="E13" s="53"/>
      <c r="F13" s="212">
        <f>'RB 2017'!CF18</f>
        <v>33539.851750175025</v>
      </c>
      <c r="G13" s="213">
        <f t="shared" si="0"/>
        <v>1.8268608980109458E-2</v>
      </c>
      <c r="H13" s="210">
        <f t="shared" si="1"/>
        <v>548.0582694032837</v>
      </c>
      <c r="I13" s="227"/>
    </row>
    <row r="14" spans="2:9" x14ac:dyDescent="0.2">
      <c r="B14" s="208"/>
      <c r="C14" s="3" t="s">
        <v>24</v>
      </c>
      <c r="D14" s="3" t="s">
        <v>5</v>
      </c>
      <c r="E14" s="53"/>
      <c r="F14" s="212">
        <f>'RB 2017'!CF19</f>
        <v>204174.15435766464</v>
      </c>
      <c r="G14" s="213">
        <f t="shared" si="0"/>
        <v>0.11121032429087056</v>
      </c>
      <c r="H14" s="210">
        <f t="shared" si="1"/>
        <v>3336.3097287261171</v>
      </c>
      <c r="I14" s="227"/>
    </row>
    <row r="15" spans="2:9" x14ac:dyDescent="0.2">
      <c r="B15" s="208"/>
      <c r="C15" s="3" t="s">
        <v>25</v>
      </c>
      <c r="D15" s="3" t="s">
        <v>26</v>
      </c>
      <c r="E15" s="53"/>
      <c r="F15" s="212">
        <f>'RB 2017'!CF20</f>
        <v>56801.432441515361</v>
      </c>
      <c r="G15" s="213">
        <f t="shared" si="0"/>
        <v>3.0938811730995001E-2</v>
      </c>
      <c r="H15" s="210">
        <f t="shared" si="1"/>
        <v>928.16435192985</v>
      </c>
      <c r="I15" s="227"/>
    </row>
    <row r="16" spans="2:9" x14ac:dyDescent="0.2">
      <c r="B16" s="208"/>
      <c r="C16" s="3" t="s">
        <v>10</v>
      </c>
      <c r="D16" s="3" t="s">
        <v>27</v>
      </c>
      <c r="E16" s="53"/>
      <c r="F16" s="212">
        <f>'RB 2017'!CF21</f>
        <v>277133.87750143913</v>
      </c>
      <c r="G16" s="213">
        <f t="shared" si="0"/>
        <v>0.1509502928315396</v>
      </c>
      <c r="H16" s="210">
        <f t="shared" si="1"/>
        <v>4528.5087849461879</v>
      </c>
      <c r="I16" s="227"/>
    </row>
    <row r="17" spans="2:9" x14ac:dyDescent="0.2">
      <c r="B17" s="208"/>
      <c r="C17" s="3" t="s">
        <v>28</v>
      </c>
      <c r="D17" s="3" t="s">
        <v>29</v>
      </c>
      <c r="E17" s="53"/>
      <c r="F17" s="212">
        <f>'RB 2017'!CF22</f>
        <v>70260.757829621769</v>
      </c>
      <c r="G17" s="213">
        <f t="shared" si="0"/>
        <v>3.8269886253412731E-2</v>
      </c>
      <c r="H17" s="210">
        <f t="shared" si="1"/>
        <v>1148.096587602382</v>
      </c>
      <c r="I17" s="227"/>
    </row>
    <row r="18" spans="2:9" x14ac:dyDescent="0.2">
      <c r="B18" s="208"/>
      <c r="C18" s="3" t="s">
        <v>30</v>
      </c>
      <c r="D18" s="3" t="s">
        <v>31</v>
      </c>
      <c r="E18" s="53"/>
      <c r="F18" s="212">
        <f>'RB 2017'!CF23</f>
        <v>57488.459908569246</v>
      </c>
      <c r="G18" s="213">
        <f t="shared" si="0"/>
        <v>3.1313024361619909E-2</v>
      </c>
      <c r="H18" s="210">
        <f t="shared" si="1"/>
        <v>939.39073084859729</v>
      </c>
      <c r="I18" s="227"/>
    </row>
    <row r="19" spans="2:9" x14ac:dyDescent="0.2">
      <c r="B19" s="208"/>
      <c r="C19" s="3" t="s">
        <v>32</v>
      </c>
      <c r="D19" s="3" t="s">
        <v>33</v>
      </c>
      <c r="E19" s="53"/>
      <c r="F19" s="212">
        <f>'RB 2017'!CF24</f>
        <v>49085.510009810525</v>
      </c>
      <c r="G19" s="213">
        <f t="shared" si="0"/>
        <v>2.6736074912847456E-2</v>
      </c>
      <c r="H19" s="210">
        <f t="shared" si="1"/>
        <v>802.08224738542367</v>
      </c>
      <c r="I19" s="227"/>
    </row>
    <row r="20" spans="2:9" x14ac:dyDescent="0.2">
      <c r="B20" s="208"/>
      <c r="C20" s="3" t="s">
        <v>34</v>
      </c>
      <c r="D20" s="3" t="s">
        <v>6</v>
      </c>
      <c r="E20" s="53"/>
      <c r="F20" s="212">
        <f>'RB 2017'!CF25</f>
        <v>67984.823211659386</v>
      </c>
      <c r="G20" s="213">
        <f t="shared" si="0"/>
        <v>3.7030221871186222E-2</v>
      </c>
      <c r="H20" s="210">
        <f t="shared" si="1"/>
        <v>1110.9066561355867</v>
      </c>
      <c r="I20" s="227"/>
    </row>
    <row r="21" spans="2:9" x14ac:dyDescent="0.2">
      <c r="B21" s="208"/>
      <c r="C21" s="3" t="s">
        <v>35</v>
      </c>
      <c r="D21" s="3" t="s">
        <v>9</v>
      </c>
      <c r="E21" s="53"/>
      <c r="F21" s="212">
        <f>'RB 2017'!CF26</f>
        <v>64814.770027725972</v>
      </c>
      <c r="G21" s="213">
        <f t="shared" si="0"/>
        <v>3.5303545722024994E-2</v>
      </c>
      <c r="H21" s="210">
        <f t="shared" si="1"/>
        <v>1059.1063716607498</v>
      </c>
      <c r="I21" s="227"/>
    </row>
    <row r="22" spans="2:9" x14ac:dyDescent="0.2">
      <c r="B22" s="208"/>
      <c r="C22" s="3" t="s">
        <v>36</v>
      </c>
      <c r="D22" s="3" t="s">
        <v>37</v>
      </c>
      <c r="E22" s="53"/>
      <c r="F22" s="212">
        <f>'RB 2017'!CF27</f>
        <v>63657.481442645658</v>
      </c>
      <c r="G22" s="213">
        <f t="shared" si="0"/>
        <v>3.4673189547660986E-2</v>
      </c>
      <c r="H22" s="210">
        <f t="shared" si="1"/>
        <v>1040.1956864298295</v>
      </c>
      <c r="I22" s="227"/>
    </row>
    <row r="23" spans="2:9" x14ac:dyDescent="0.2">
      <c r="B23" s="208"/>
      <c r="C23" s="3" t="s">
        <v>38</v>
      </c>
      <c r="D23" s="3" t="s">
        <v>39</v>
      </c>
      <c r="E23" s="53"/>
      <c r="F23" s="212">
        <f>'RB 2017'!CF28</f>
        <v>56635.790932905016</v>
      </c>
      <c r="G23" s="213">
        <f t="shared" si="0"/>
        <v>3.0848589508958434E-2</v>
      </c>
      <c r="H23" s="210">
        <f t="shared" si="1"/>
        <v>925.45768526875304</v>
      </c>
      <c r="I23" s="227"/>
    </row>
    <row r="24" spans="2:9" x14ac:dyDescent="0.2">
      <c r="B24" s="208"/>
      <c r="C24" s="3" t="s">
        <v>40</v>
      </c>
      <c r="D24" s="3" t="s">
        <v>41</v>
      </c>
      <c r="E24" s="53"/>
      <c r="F24" s="212">
        <f>'RB 2017'!CF29</f>
        <v>81432.952628997067</v>
      </c>
      <c r="G24" s="213">
        <f t="shared" si="0"/>
        <v>4.4355198131344177E-2</v>
      </c>
      <c r="H24" s="210">
        <f t="shared" si="1"/>
        <v>1330.6559439403254</v>
      </c>
      <c r="I24" s="227"/>
    </row>
    <row r="25" spans="2:9" x14ac:dyDescent="0.2">
      <c r="B25" s="208"/>
      <c r="C25" s="3" t="s">
        <v>42</v>
      </c>
      <c r="D25" s="3" t="s">
        <v>43</v>
      </c>
      <c r="E25" s="53"/>
      <c r="F25" s="212">
        <f>'RB 2017'!CF30</f>
        <v>93952.840417411076</v>
      </c>
      <c r="G25" s="213">
        <f t="shared" si="0"/>
        <v>5.1174576349978948E-2</v>
      </c>
      <c r="H25" s="210">
        <f t="shared" si="1"/>
        <v>1535.2372904993683</v>
      </c>
      <c r="I25" s="227"/>
    </row>
    <row r="26" spans="2:9" x14ac:dyDescent="0.2">
      <c r="B26" s="208"/>
      <c r="C26" s="3" t="s">
        <v>55</v>
      </c>
      <c r="D26" s="3"/>
      <c r="E26" s="53"/>
      <c r="F26" s="209"/>
      <c r="G26" s="213"/>
      <c r="H26" s="210"/>
      <c r="I26" s="211"/>
    </row>
    <row r="27" spans="2:9" x14ac:dyDescent="0.2">
      <c r="B27" s="208"/>
      <c r="C27" s="3"/>
      <c r="D27" s="3"/>
      <c r="E27" s="53"/>
      <c r="F27" s="209"/>
      <c r="G27" s="213"/>
      <c r="H27" s="210"/>
      <c r="I27" s="211"/>
    </row>
    <row r="28" spans="2:9" x14ac:dyDescent="0.2">
      <c r="B28" s="208"/>
      <c r="C28" s="3" t="s">
        <v>44</v>
      </c>
      <c r="D28" s="3"/>
      <c r="E28" s="53"/>
      <c r="F28" s="209"/>
      <c r="G28" s="213"/>
      <c r="H28" s="210"/>
      <c r="I28" s="211"/>
    </row>
    <row r="29" spans="2:9" x14ac:dyDescent="0.2">
      <c r="B29" s="208"/>
      <c r="C29" s="3" t="s">
        <v>45</v>
      </c>
      <c r="D29" s="3"/>
      <c r="E29" s="53"/>
      <c r="F29" s="209"/>
      <c r="G29" s="213"/>
      <c r="H29" s="210"/>
      <c r="I29" s="211"/>
    </row>
    <row r="30" spans="2:9" x14ac:dyDescent="0.2">
      <c r="B30" s="208"/>
      <c r="C30" s="3" t="s">
        <v>46</v>
      </c>
      <c r="D30" s="3"/>
      <c r="E30" s="53"/>
      <c r="F30" s="209"/>
      <c r="G30" s="213"/>
      <c r="H30" s="210"/>
      <c r="I30" s="211"/>
    </row>
    <row r="31" spans="2:9" x14ac:dyDescent="0.2">
      <c r="B31" s="208"/>
      <c r="C31" s="3"/>
      <c r="D31" s="3"/>
      <c r="E31" s="53"/>
      <c r="F31" s="209"/>
      <c r="G31" s="213"/>
      <c r="H31" s="210"/>
      <c r="I31" s="211"/>
    </row>
    <row r="32" spans="2:9" x14ac:dyDescent="0.2">
      <c r="B32" s="208"/>
      <c r="C32" s="34" t="s">
        <v>54</v>
      </c>
      <c r="D32" s="34"/>
      <c r="E32" s="53"/>
      <c r="F32" s="212">
        <f>SUM(F5:F31)</f>
        <v>1835928.0548777757</v>
      </c>
      <c r="G32" s="213">
        <f t="shared" si="0"/>
        <v>1</v>
      </c>
      <c r="H32" s="212">
        <f>SUM(H5:H31)</f>
        <v>29999.999999999996</v>
      </c>
      <c r="I32" s="211"/>
    </row>
    <row r="33" spans="2:9" x14ac:dyDescent="0.2">
      <c r="B33" s="208"/>
      <c r="C33" s="53"/>
      <c r="D33" s="53"/>
      <c r="E33" s="53"/>
      <c r="F33" s="209"/>
      <c r="G33" s="53"/>
      <c r="H33" s="210"/>
      <c r="I33" s="211"/>
    </row>
    <row r="34" spans="2:9" ht="13.5" thickBot="1" x14ac:dyDescent="0.25">
      <c r="B34" s="214"/>
      <c r="C34" s="215"/>
      <c r="D34" s="215"/>
      <c r="E34" s="215"/>
      <c r="F34" s="216"/>
      <c r="G34" s="215"/>
      <c r="H34" s="217"/>
      <c r="I34" s="218"/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c14d05-b663-4c4f-ba9e-f91ce218b26b"/>
    <Diarienummer xmlns="eec14d05-b663-4c4f-ba9e-f91ce218b26b" xsi:nil="true"/>
    <Nyckelord xmlns="eec14d05-b663-4c4f-ba9e-f91ce218b26b" xsi:nil="true"/>
    <k46d94c0acf84ab9a79866a9d8b1905f xmlns="eec14d05-b663-4c4f-ba9e-f91ce218b26b" xsi:nil="true"/>
    <c9cd366cc722410295b9eacffbd73909 xmlns="eec14d05-b663-4c4f-ba9e-f91ce218b26b" xsi:nil="true"/>
    <_dlc_DocId xmlns="eec14d05-b663-4c4f-ba9e-f91ce218b26b">QZUX6KDAKH7W-49-15783</_dlc_DocId>
    <_dlc_DocIdUrl xmlns="eec14d05-b663-4c4f-ba9e-f91ce218b26b">
      <Url>http://rkdhs-fi/enhet/ofa/sfo/_layouts/DocIdRedir.aspx?ID=QZUX6KDAKH7W-49-15783</Url>
      <Description>QZUX6KDAKH7W-49-15783</Description>
    </_dlc_DocIdUrl>
    <Sekretess_x0020_m.m. xmlns="111ccfd7-5aa6-4696-9a47-ba798b7db76e">false</Sekretess_x0020_m.m.>
    <Sekretess xmlns="eec14d05-b663-4c4f-ba9e-f91ce218b26b">false</Sekretes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5AA2C71204BC8444B2029BED0D0183DF" ma:contentTypeVersion="13" ma:contentTypeDescription="Skapa ett nytt dokument." ma:contentTypeScope="" ma:versionID="5652689cde1677ce258ef483709314bb">
  <xsd:schema xmlns:xsd="http://www.w3.org/2001/XMLSchema" xmlns:xs="http://www.w3.org/2001/XMLSchema" xmlns:p="http://schemas.microsoft.com/office/2006/metadata/properties" xmlns:ns2="eec14d05-b663-4c4f-ba9e-f91ce218b26b" xmlns:ns3="111ccfd7-5aa6-4696-9a47-ba798b7db76e" targetNamespace="http://schemas.microsoft.com/office/2006/metadata/properties" ma:root="true" ma:fieldsID="2411db4191affea4055f35d15b999171" ns2:_="" ns3:_="">
    <xsd:import namespace="eec14d05-b663-4c4f-ba9e-f91ce218b26b"/>
    <xsd:import namespace="111ccfd7-5aa6-4696-9a47-ba798b7db76e"/>
    <xsd:element name="properties">
      <xsd:complexType>
        <xsd:sequence>
          <xsd:element name="documentManagement">
            <xsd:complexType>
              <xsd:all>
                <xsd:element ref="ns2:Diarienummer" minOccurs="0"/>
                <xsd:element ref="ns2:Nyckelord" minOccurs="0"/>
                <xsd:element ref="ns2:Sekretess" minOccurs="0"/>
                <xsd:element ref="ns2:TaxCatchAll" minOccurs="0"/>
                <xsd:element ref="ns2:TaxCatchAllLabel" minOccurs="0"/>
                <xsd:element ref="ns3:Sekretess_x0020_m.m." minOccurs="0"/>
                <xsd:element ref="ns2:k46d94c0acf84ab9a79866a9d8b1905f" minOccurs="0"/>
                <xsd:element ref="ns2:c9cd366cc722410295b9eacffbd73909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Diarienummer">
      <xsd:simpleType>
        <xsd:restriction base="dms:Text"/>
      </xsd:simpleType>
    </xsd:element>
    <xsd:element name="Nyckelord" ma:index="5" nillable="true" ma:displayName="Nyckelord" ma:internalName="Nyckelord">
      <xsd:simpleType>
        <xsd:restriction base="dms:Text"/>
      </xsd:simpleType>
    </xsd:element>
    <xsd:element name="Sekretess" ma:index="6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  <xsd:element name="TaxCatchAll" ma:index="7" nillable="true" ma:displayName="Global taxonomikolumn" ma:hidden="true" ma:list="{6c0134db-2f68-490b-b60d-56c84e2e33b9}" ma:internalName="TaxCatchAll" ma:showField="CatchAllData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Global taxonomikolumn1" ma:hidden="true" ma:list="{6c0134db-2f68-490b-b60d-56c84e2e33b9}" ma:internalName="TaxCatchAllLabel" ma:readOnly="true" ma:showField="CatchAllDataLabel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2" nillable="true" ma:displayName="Departement/enhet_0" ma:hidden="true" ma:internalName="k46d94c0acf84ab9a79866a9d8b1905f">
      <xsd:simpleType>
        <xsd:restriction base="dms:Note"/>
      </xsd:simpleType>
    </xsd:element>
    <xsd:element name="c9cd366cc722410295b9eacffbd73909" ma:index="13" nillable="true" ma:displayName="Aktivitetskategori_0" ma:hidden="true" ma:internalName="c9cd366cc722410295b9eacffbd73909">
      <xsd:simpleType>
        <xsd:restriction base="dms:Note"/>
      </xsd:simpleType>
    </xsd:element>
    <xsd:element name="_dlc_DocId" ma:index="1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ccfd7-5aa6-4696-9a47-ba798b7db76e" elementFormDefault="qualified">
    <xsd:import namespace="http://schemas.microsoft.com/office/2006/documentManagement/types"/>
    <xsd:import namespace="http://schemas.microsoft.com/office/infopath/2007/PartnerControls"/>
    <xsd:element name="Sekretess_x0020_m.m." ma:index="11" nillable="true" ma:displayName="Sekretess m.m." ma:internalName="Sekretess_x0020_m_x002e_m_x002e_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LongProperties xmlns="http://schemas.microsoft.com/office/2006/metadata/longProperties"/>
</file>

<file path=customXml/item5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7362D4-6705-4370-8921-4A890FF68B7D}">
  <ds:schemaRefs>
    <ds:schemaRef ds:uri="111ccfd7-5aa6-4696-9a47-ba798b7db76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eec14d05-b663-4c4f-ba9e-f91ce218b26b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FC09BB0-5252-456E-B892-A926C1F6D7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14d05-b663-4c4f-ba9e-f91ce218b26b"/>
    <ds:schemaRef ds:uri="111ccfd7-5aa6-4696-9a47-ba798b7db7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8E70E-9F4D-467D-AB9D-2F10C52B9A14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55472C5A-FABF-43C1-BEE5-6B15A4F1A578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B9714A4E-368B-461D-9ADA-0E28211B854B}">
  <ds:schemaRefs>
    <ds:schemaRef ds:uri="http://schemas.microsoft.com/sharepoint/v3/contenttype/forms/url"/>
  </ds:schemaRefs>
</ds:datastoreItem>
</file>

<file path=customXml/itemProps6.xml><?xml version="1.0" encoding="utf-8"?>
<ds:datastoreItem xmlns:ds="http://schemas.openxmlformats.org/officeDocument/2006/customXml" ds:itemID="{D31A0236-B0E3-4843-8D90-7CACC5C2DA81}">
  <ds:schemaRefs>
    <ds:schemaRef ds:uri="http://schemas.microsoft.com/sharepoint/events"/>
  </ds:schemaRefs>
</ds:datastoreItem>
</file>

<file path=customXml/itemProps7.xml><?xml version="1.0" encoding="utf-8"?>
<ds:datastoreItem xmlns:ds="http://schemas.openxmlformats.org/officeDocument/2006/customXml" ds:itemID="{42AB4535-CF1A-4DA3-B6ED-1F502A854A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RB 2017</vt:lpstr>
      <vt:lpstr>Utvecklingsmedel</vt:lpstr>
      <vt:lpstr>'RB 2017'!Utskriftsrubriker</vt:lpstr>
    </vt:vector>
  </TitlesOfParts>
  <Company>Regeringskansliet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3 - beräkning av anslagspost per länsstyrelse.xls</dc:title>
  <dc:creator>htn0420</dc:creator>
  <cp:lastModifiedBy>Sami Soliman</cp:lastModifiedBy>
  <cp:lastPrinted>2017-06-27T09:53:22Z</cp:lastPrinted>
  <dcterms:created xsi:type="dcterms:W3CDTF">2007-01-26T09:50:15Z</dcterms:created>
  <dcterms:modified xsi:type="dcterms:W3CDTF">2017-06-29T09:23:18Z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 Budgetprocessen, styrning av statliga myndigheterna m.m.</vt:lpwstr>
  </property>
  <property fmtid="{D5CDD505-2E9C-101B-9397-08002B2CF9AE}" pid="4" name="QFMSP source name">
    <vt:lpwstr>Bil 7 förd modell.xls</vt:lpwstr>
  </property>
  <property fmtid="{D5CDD505-2E9C-101B-9397-08002B2CF9AE}" pid="5" name="Subject">
    <vt:lpwstr/>
  </property>
  <property fmtid="{D5CDD505-2E9C-101B-9397-08002B2CF9AE}" pid="6" name="Keywords">
    <vt:lpwstr/>
  </property>
  <property fmtid="{D5CDD505-2E9C-101B-9397-08002B2CF9AE}" pid="7" name="_Author">
    <vt:lpwstr>htn0420</vt:lpwstr>
  </property>
  <property fmtid="{D5CDD505-2E9C-101B-9397-08002B2CF9AE}" pid="8" name="_Category">
    <vt:lpwstr/>
  </property>
  <property fmtid="{D5CDD505-2E9C-101B-9397-08002B2CF9AE}" pid="9" name="Categories">
    <vt:lpwstr/>
  </property>
  <property fmtid="{D5CDD505-2E9C-101B-9397-08002B2CF9AE}" pid="10" name="Approval Level">
    <vt:lpwstr/>
  </property>
  <property fmtid="{D5CDD505-2E9C-101B-9397-08002B2CF9AE}" pid="11" name="_Comments">
    <vt:lpwstr/>
  </property>
  <property fmtid="{D5CDD505-2E9C-101B-9397-08002B2CF9AE}" pid="12" name="Assigned To">
    <vt:lpwstr/>
  </property>
  <property fmtid="{D5CDD505-2E9C-101B-9397-08002B2CF9AE}" pid="13" name="RKOrdnaDiarienummer">
    <vt:lpwstr/>
  </property>
  <property fmtid="{D5CDD505-2E9C-101B-9397-08002B2CF9AE}" pid="14" name="ContentType">
    <vt:lpwstr>Word</vt:lpwstr>
  </property>
  <property fmtid="{D5CDD505-2E9C-101B-9397-08002B2CF9AE}" pid="15" name="RKOrdnaSearchKeywords">
    <vt:lpwstr/>
  </property>
  <property fmtid="{D5CDD505-2E9C-101B-9397-08002B2CF9AE}" pid="16" name="RKOrdnaSarskildSkyddsvard">
    <vt:lpwstr>0</vt:lpwstr>
  </property>
  <property fmtid="{D5CDD505-2E9C-101B-9397-08002B2CF9AE}" pid="17" name="display_urn:schemas-microsoft-com:office:office#Editor">
    <vt:lpwstr>Mats Kryhl</vt:lpwstr>
  </property>
  <property fmtid="{D5CDD505-2E9C-101B-9397-08002B2CF9AE}" pid="18" name="xd_Signature">
    <vt:lpwstr/>
  </property>
  <property fmtid="{D5CDD505-2E9C-101B-9397-08002B2CF9AE}" pid="19" name="RKOrdnaCheckInComment">
    <vt:lpwstr/>
  </property>
  <property fmtid="{D5CDD505-2E9C-101B-9397-08002B2CF9AE}" pid="20" name="TemplateUrl">
    <vt:lpwstr/>
  </property>
  <property fmtid="{D5CDD505-2E9C-101B-9397-08002B2CF9AE}" pid="21" name="RKOrdnaClass">
    <vt:lpwstr>3</vt:lpwstr>
  </property>
  <property fmtid="{D5CDD505-2E9C-101B-9397-08002B2CF9AE}" pid="22" name="xd_ProgID">
    <vt:lpwstr/>
  </property>
  <property fmtid="{D5CDD505-2E9C-101B-9397-08002B2CF9AE}" pid="23" name="display_urn:schemas-microsoft-com:office:office#Author">
    <vt:lpwstr>Mats Kryhl</vt:lpwstr>
  </property>
  <property fmtid="{D5CDD505-2E9C-101B-9397-08002B2CF9AE}" pid="24" name="Order">
    <vt:lpwstr>1489200.00000000</vt:lpwstr>
  </property>
  <property fmtid="{D5CDD505-2E9C-101B-9397-08002B2CF9AE}" pid="25" name="ContentTypeId">
    <vt:lpwstr>0x01010053E1D612BA3F4E21AA250ECD751942B3005AA2C71204BC8444B2029BED0D0183DF</vt:lpwstr>
  </property>
  <property fmtid="{D5CDD505-2E9C-101B-9397-08002B2CF9AE}" pid="26" name="_dlc_DocIdItemGuid">
    <vt:lpwstr>04a25583-2b36-4b14-9b49-bf011ff49aa6</vt:lpwstr>
  </property>
  <property fmtid="{D5CDD505-2E9C-101B-9397-08002B2CF9AE}" pid="27" name="RKDepartementsenhet">
    <vt:lpwstr/>
  </property>
  <property fmtid="{D5CDD505-2E9C-101B-9397-08002B2CF9AE}" pid="28" name="RKAktivitetskategori">
    <vt:lpwstr/>
  </property>
  <property fmtid="{D5CDD505-2E9C-101B-9397-08002B2CF9AE}" pid="29" name="Departementsenhet">
    <vt:lpwstr/>
  </property>
  <property fmtid="{D5CDD505-2E9C-101B-9397-08002B2CF9AE}" pid="30" name="Aktivitetskategori">
    <vt:lpwstr/>
  </property>
  <property fmtid="{D5CDD505-2E9C-101B-9397-08002B2CF9AE}" pid="31" name="DocumentSetDescription">
    <vt:lpwstr/>
  </property>
</Properties>
</file>