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19/Bilagor/Excel/"/>
    </mc:Choice>
  </mc:AlternateContent>
  <bookViews>
    <workbookView xWindow="0" yWindow="0" windowWidth="25200" windowHeight="11460" tabRatio="598" activeTab="1"/>
  </bookViews>
  <sheets>
    <sheet name="RB 2018" sheetId="8" r:id="rId1"/>
    <sheet name="Utvecklingsmedel" sheetId="6" r:id="rId2"/>
    <sheet name="Djurfrågor" sheetId="7" r:id="rId3"/>
  </sheets>
  <definedNames>
    <definedName name="_xlnm.Print_Area" localSheetId="0">'RB 2018'!$A$2:$DE$53</definedName>
    <definedName name="_xlnm.Print_Titles" localSheetId="0">'RB 2018'!$G:$I</definedName>
  </definedNames>
  <calcPr calcId="171027"/>
</workbook>
</file>

<file path=xl/calcChain.xml><?xml version="1.0" encoding="utf-8"?>
<calcChain xmlns="http://schemas.openxmlformats.org/spreadsheetml/2006/main">
  <c r="O35" i="8" l="1"/>
  <c r="R35" i="8"/>
  <c r="S35" i="8"/>
  <c r="V35" i="8"/>
  <c r="W35" i="8"/>
  <c r="X35" i="8"/>
  <c r="Y35" i="8"/>
  <c r="Z35" i="8"/>
  <c r="AC35" i="8"/>
  <c r="AL35" i="8"/>
  <c r="AO35" i="8"/>
  <c r="BF35" i="8"/>
  <c r="BG35" i="8"/>
  <c r="BH35" i="8"/>
  <c r="BI35" i="8"/>
  <c r="M34" i="8" l="1"/>
  <c r="M33" i="8"/>
  <c r="M32" i="8"/>
  <c r="M35" i="8" s="1"/>
  <c r="BV35" i="8"/>
  <c r="M36" i="8" l="1"/>
  <c r="BX48" i="8"/>
  <c r="CY38" i="8"/>
  <c r="CC35" i="8"/>
  <c r="CB35" i="8"/>
  <c r="CA35" i="8"/>
  <c r="BZ35" i="8"/>
  <c r="BY35" i="8"/>
  <c r="BX35" i="8"/>
  <c r="BW35" i="8"/>
  <c r="BI36" i="8"/>
  <c r="BH36" i="8"/>
  <c r="BG36" i="8"/>
  <c r="BF36" i="8"/>
  <c r="AO36" i="8"/>
  <c r="AL36" i="8"/>
  <c r="AC36" i="8"/>
  <c r="Z36" i="8"/>
  <c r="Y36" i="8"/>
  <c r="X36" i="8"/>
  <c r="W36" i="8"/>
  <c r="V36" i="8"/>
  <c r="S36" i="8"/>
  <c r="R36" i="8"/>
  <c r="O36" i="8"/>
  <c r="CV34" i="8"/>
  <c r="BD34" i="8"/>
  <c r="BC34" i="8"/>
  <c r="BB34" i="8"/>
  <c r="AS34" i="8"/>
  <c r="AR34" i="8"/>
  <c r="AP34" i="8"/>
  <c r="AN34" i="8"/>
  <c r="AK34" i="8"/>
  <c r="AB34" i="8"/>
  <c r="AA34" i="8"/>
  <c r="T34" i="8"/>
  <c r="Q34" i="8"/>
  <c r="CV33" i="8"/>
  <c r="BD33" i="8"/>
  <c r="BC33" i="8"/>
  <c r="BB33" i="8"/>
  <c r="AR33" i="8"/>
  <c r="AP33" i="8"/>
  <c r="AK33" i="8"/>
  <c r="AB33" i="8"/>
  <c r="AA33" i="8"/>
  <c r="T33" i="8"/>
  <c r="Q33" i="8"/>
  <c r="CV32" i="8"/>
  <c r="BD32" i="8"/>
  <c r="BC32" i="8"/>
  <c r="BB32" i="8"/>
  <c r="AR32" i="8"/>
  <c r="AQ32" i="8"/>
  <c r="AK32" i="8"/>
  <c r="AB32" i="8"/>
  <c r="AA32" i="8"/>
  <c r="T32" i="8"/>
  <c r="Q32" i="8"/>
  <c r="CV31" i="8"/>
  <c r="BD31" i="8"/>
  <c r="BC31" i="8"/>
  <c r="BB31" i="8"/>
  <c r="AS31" i="8"/>
  <c r="AR31" i="8"/>
  <c r="AQ31" i="8"/>
  <c r="AP31" i="8"/>
  <c r="AK31" i="8"/>
  <c r="AB31" i="8"/>
  <c r="T31" i="8"/>
  <c r="Q31" i="8"/>
  <c r="CV30" i="8"/>
  <c r="BD30" i="8"/>
  <c r="BC30" i="8"/>
  <c r="BB30" i="8"/>
  <c r="AR30" i="8"/>
  <c r="AQ30" i="8"/>
  <c r="AP30" i="8"/>
  <c r="AN30" i="8"/>
  <c r="AK30" i="8"/>
  <c r="AB30" i="8"/>
  <c r="T30" i="8"/>
  <c r="Q30" i="8"/>
  <c r="CV29" i="8"/>
  <c r="BD29" i="8"/>
  <c r="BC29" i="8"/>
  <c r="BB29" i="8"/>
  <c r="AR29" i="8"/>
  <c r="AQ29" i="8"/>
  <c r="AK29" i="8"/>
  <c r="AB29" i="8"/>
  <c r="T29" i="8"/>
  <c r="Q29" i="8"/>
  <c r="CV28" i="8"/>
  <c r="BD28" i="8"/>
  <c r="BC28" i="8"/>
  <c r="BB28" i="8"/>
  <c r="AR28" i="8"/>
  <c r="AQ28" i="8"/>
  <c r="AK28" i="8"/>
  <c r="AB28" i="8"/>
  <c r="T28" i="8"/>
  <c r="CV27" i="8"/>
  <c r="BE27" i="8"/>
  <c r="BD27" i="8"/>
  <c r="BC27" i="8"/>
  <c r="BB27" i="8"/>
  <c r="AR27" i="8"/>
  <c r="AQ27" i="8"/>
  <c r="AK27" i="8"/>
  <c r="AJ27" i="8"/>
  <c r="AB27" i="8"/>
  <c r="T27" i="8"/>
  <c r="Q27" i="8"/>
  <c r="CV26" i="8"/>
  <c r="BD26" i="8"/>
  <c r="BC26" i="8"/>
  <c r="BB26" i="8"/>
  <c r="AR26" i="8"/>
  <c r="AQ26" i="8"/>
  <c r="AK26" i="8"/>
  <c r="AB26" i="8"/>
  <c r="T26" i="8"/>
  <c r="Q26" i="8"/>
  <c r="CV25" i="8"/>
  <c r="CU25" i="8"/>
  <c r="BD25" i="8"/>
  <c r="BC25" i="8"/>
  <c r="BB25" i="8"/>
  <c r="AS25" i="8"/>
  <c r="AS35" i="8" s="1"/>
  <c r="AR25" i="8"/>
  <c r="AP25" i="8"/>
  <c r="AN25" i="8"/>
  <c r="AK25" i="8"/>
  <c r="AI25" i="8"/>
  <c r="AB25" i="8"/>
  <c r="T25" i="8"/>
  <c r="Q25" i="8"/>
  <c r="Q35" i="8" s="1"/>
  <c r="N25" i="8"/>
  <c r="N35" i="8" s="1"/>
  <c r="CV24" i="8"/>
  <c r="BD24" i="8"/>
  <c r="BC24" i="8"/>
  <c r="BB24" i="8"/>
  <c r="AR24" i="8"/>
  <c r="AP24" i="8"/>
  <c r="AK24" i="8"/>
  <c r="AB24" i="8"/>
  <c r="CV23" i="8"/>
  <c r="CU23" i="8"/>
  <c r="BD23" i="8"/>
  <c r="BC23" i="8"/>
  <c r="BB23" i="8"/>
  <c r="AR23" i="8"/>
  <c r="AQ23" i="8"/>
  <c r="AP23" i="8"/>
  <c r="AN23" i="8"/>
  <c r="AM23" i="8"/>
  <c r="AK23" i="8"/>
  <c r="AI23" i="8"/>
  <c r="AB23" i="8"/>
  <c r="CV22" i="8"/>
  <c r="BD22" i="8"/>
  <c r="BC22" i="8"/>
  <c r="BB22" i="8"/>
  <c r="AR22" i="8"/>
  <c r="AQ22" i="8"/>
  <c r="AP22" i="8"/>
  <c r="AM22" i="8"/>
  <c r="AK22" i="8"/>
  <c r="AB22" i="8"/>
  <c r="CV21" i="8"/>
  <c r="BD21" i="8"/>
  <c r="BC21" i="8"/>
  <c r="BB21" i="8"/>
  <c r="AR21" i="8"/>
  <c r="AQ21" i="8"/>
  <c r="AP21" i="8"/>
  <c r="AK21" i="8"/>
  <c r="AB21" i="8"/>
  <c r="CV20" i="8"/>
  <c r="BD20" i="8"/>
  <c r="BC20" i="8"/>
  <c r="BB20" i="8"/>
  <c r="AR20" i="8"/>
  <c r="AQ20" i="8"/>
  <c r="AP20" i="8"/>
  <c r="AK20" i="8"/>
  <c r="AB20" i="8"/>
  <c r="CV19" i="8"/>
  <c r="BD19" i="8"/>
  <c r="BC19" i="8"/>
  <c r="BB19" i="8"/>
  <c r="AR19" i="8"/>
  <c r="AQ19" i="8"/>
  <c r="AK19" i="8"/>
  <c r="AB19" i="8"/>
  <c r="U19" i="8"/>
  <c r="CV18" i="8"/>
  <c r="BD18" i="8"/>
  <c r="BC18" i="8"/>
  <c r="BB18" i="8"/>
  <c r="AR18" i="8"/>
  <c r="AQ18" i="8"/>
  <c r="AK18" i="8"/>
  <c r="AB18" i="8"/>
  <c r="CV17" i="8"/>
  <c r="BD17" i="8"/>
  <c r="BC17" i="8"/>
  <c r="BB17" i="8"/>
  <c r="AR17" i="8"/>
  <c r="AQ17" i="8"/>
  <c r="AP17" i="8"/>
  <c r="AK17" i="8"/>
  <c r="AB17" i="8"/>
  <c r="CV16" i="8"/>
  <c r="BD16" i="8"/>
  <c r="BC16" i="8"/>
  <c r="BB16" i="8"/>
  <c r="AR16" i="8"/>
  <c r="AQ16" i="8"/>
  <c r="AP16" i="8"/>
  <c r="AK16" i="8"/>
  <c r="AB16" i="8"/>
  <c r="CV15" i="8"/>
  <c r="BD15" i="8"/>
  <c r="BC15" i="8"/>
  <c r="BB15" i="8"/>
  <c r="AR15" i="8"/>
  <c r="AQ15" i="8"/>
  <c r="AP15" i="8"/>
  <c r="AK15" i="8"/>
  <c r="AB15" i="8"/>
  <c r="T15" i="8"/>
  <c r="C21" i="8"/>
  <c r="CV14" i="8"/>
  <c r="BD14" i="8"/>
  <c r="BC14" i="8"/>
  <c r="BB14" i="8"/>
  <c r="BB35" i="8" s="1"/>
  <c r="AT14" i="8"/>
  <c r="AR14" i="8"/>
  <c r="AQ14" i="8"/>
  <c r="AP14" i="8"/>
  <c r="AP35" i="8" s="1"/>
  <c r="AN14" i="8"/>
  <c r="AK14" i="8"/>
  <c r="AI14" i="8"/>
  <c r="AI35" i="8" s="1"/>
  <c r="AB14" i="8"/>
  <c r="AB35" i="8" s="1"/>
  <c r="P14" i="8"/>
  <c r="C20" i="8"/>
  <c r="C17" i="8"/>
  <c r="AQ35" i="8" l="1"/>
  <c r="BC35" i="8"/>
  <c r="AK35" i="8"/>
  <c r="AK36" i="8" s="1"/>
  <c r="AR35" i="8"/>
  <c r="AR36" i="8" s="1"/>
  <c r="BD35" i="8"/>
  <c r="AM35" i="8"/>
  <c r="AM36" i="8" s="1"/>
  <c r="BE35" i="8"/>
  <c r="BE36" i="8" s="1"/>
  <c r="T35" i="8"/>
  <c r="U35" i="8"/>
  <c r="U36" i="8" s="1"/>
  <c r="AA35" i="8"/>
  <c r="BJ35" i="8" s="1"/>
  <c r="P35" i="8"/>
  <c r="P36" i="8" s="1"/>
  <c r="AN35" i="8"/>
  <c r="AT36" i="8"/>
  <c r="AT35" i="8"/>
  <c r="AJ35" i="8"/>
  <c r="AJ36" i="8" s="1"/>
  <c r="Q36" i="8"/>
  <c r="AI36" i="8"/>
  <c r="AS36" i="8"/>
  <c r="AN36" i="8"/>
  <c r="CU35" i="8"/>
  <c r="T36" i="8"/>
  <c r="BJ22" i="8"/>
  <c r="CT22" i="8" s="1"/>
  <c r="AQ36" i="8"/>
  <c r="BC36" i="8"/>
  <c r="AP36" i="8"/>
  <c r="BJ26" i="8"/>
  <c r="CT26" i="8" s="1"/>
  <c r="BJ30" i="8"/>
  <c r="CT30" i="8" s="1"/>
  <c r="BJ16" i="8"/>
  <c r="CT16" i="8" s="1"/>
  <c r="BJ20" i="8"/>
  <c r="CT20" i="8" s="1"/>
  <c r="BJ23" i="8"/>
  <c r="CT23" i="8" s="1"/>
  <c r="BJ24" i="8"/>
  <c r="CT24" i="8" s="1"/>
  <c r="BJ32" i="8"/>
  <c r="CT32" i="8" s="1"/>
  <c r="BJ18" i="8"/>
  <c r="CT18" i="8" s="1"/>
  <c r="BD36" i="8"/>
  <c r="CV35" i="8"/>
  <c r="BJ14" i="8"/>
  <c r="CT14" i="8" s="1"/>
  <c r="BJ15" i="8"/>
  <c r="CT15" i="8" s="1"/>
  <c r="N36" i="8"/>
  <c r="BJ25" i="8"/>
  <c r="CT25" i="8" s="1"/>
  <c r="BJ27" i="8"/>
  <c r="CT27" i="8" s="1"/>
  <c r="BJ33" i="8"/>
  <c r="CT33" i="8" s="1"/>
  <c r="BJ34" i="8"/>
  <c r="CT34" i="8" s="1"/>
  <c r="BJ21" i="8"/>
  <c r="CT21" i="8" s="1"/>
  <c r="BJ17" i="8"/>
  <c r="CT17" i="8" s="1"/>
  <c r="BJ19" i="8"/>
  <c r="CT19" i="8" s="1"/>
  <c r="BJ28" i="8"/>
  <c r="CT28" i="8" s="1"/>
  <c r="AB36" i="8"/>
  <c r="BB36" i="8"/>
  <c r="BJ29" i="8"/>
  <c r="CT29" i="8" s="1"/>
  <c r="BJ31" i="8"/>
  <c r="CT31" i="8" s="1"/>
  <c r="AA36" i="8" l="1"/>
  <c r="CT35" i="8"/>
  <c r="BJ36" i="8"/>
  <c r="C19" i="8" s="1"/>
  <c r="C23" i="8" s="1"/>
  <c r="C26" i="8" s="1"/>
  <c r="BZ37" i="8" s="1"/>
  <c r="BZ47" i="8" l="1"/>
  <c r="BZ43" i="8"/>
  <c r="BZ39" i="8"/>
  <c r="BZ45" i="8"/>
  <c r="BZ41" i="8"/>
  <c r="BZ44" i="8"/>
  <c r="BZ42" i="8"/>
  <c r="BZ46" i="8"/>
  <c r="CM34" i="8" l="1"/>
  <c r="CM32" i="8"/>
  <c r="CM27" i="8"/>
  <c r="CM24" i="8"/>
  <c r="CM31" i="8"/>
  <c r="CM30" i="8"/>
  <c r="CM22" i="8"/>
  <c r="CM19" i="8"/>
  <c r="CM15" i="8"/>
  <c r="CM14" i="8"/>
  <c r="CM29" i="8"/>
  <c r="CM26" i="8"/>
  <c r="CM25" i="8"/>
  <c r="CM23" i="8"/>
  <c r="CM16" i="8"/>
  <c r="CM21" i="8"/>
  <c r="CM20" i="8"/>
  <c r="CM33" i="8"/>
  <c r="CM18" i="8"/>
  <c r="CM28" i="8"/>
  <c r="CM17" i="8"/>
  <c r="CL31" i="8"/>
  <c r="CL33" i="8"/>
  <c r="CL29" i="8"/>
  <c r="CL22" i="8"/>
  <c r="CL34" i="8"/>
  <c r="CL27" i="8"/>
  <c r="CL23" i="8"/>
  <c r="CL17" i="8"/>
  <c r="CL30" i="8"/>
  <c r="CL24" i="8"/>
  <c r="CL32" i="8"/>
  <c r="CL28" i="8"/>
  <c r="CL16" i="8"/>
  <c r="CL21" i="8"/>
  <c r="CL20" i="8"/>
  <c r="CL19" i="8"/>
  <c r="CL18" i="8"/>
  <c r="CL26" i="8"/>
  <c r="CL15" i="8"/>
  <c r="CL14" i="8"/>
  <c r="CL25" i="8"/>
  <c r="CJ34" i="8"/>
  <c r="CJ32" i="8"/>
  <c r="CJ27" i="8"/>
  <c r="CJ24" i="8"/>
  <c r="CJ29" i="8"/>
  <c r="CJ21" i="8"/>
  <c r="CJ19" i="8"/>
  <c r="CJ15" i="8"/>
  <c r="CJ14" i="8"/>
  <c r="CJ28" i="8"/>
  <c r="CJ26" i="8"/>
  <c r="CJ25" i="8"/>
  <c r="CJ33" i="8"/>
  <c r="CJ30" i="8"/>
  <c r="CJ20" i="8"/>
  <c r="CJ23" i="8"/>
  <c r="CJ17" i="8"/>
  <c r="CJ31" i="8"/>
  <c r="CJ18" i="8"/>
  <c r="CJ22" i="8"/>
  <c r="CJ16" i="8"/>
  <c r="CH34" i="8"/>
  <c r="CH32" i="8"/>
  <c r="BZ48" i="8"/>
  <c r="CH30" i="8"/>
  <c r="CH28" i="8"/>
  <c r="CH23" i="8"/>
  <c r="CH21" i="8"/>
  <c r="CH31" i="8"/>
  <c r="CH27" i="8"/>
  <c r="CH22" i="8"/>
  <c r="CH18" i="8"/>
  <c r="CH16" i="8"/>
  <c r="CH29" i="8"/>
  <c r="CH24" i="8"/>
  <c r="CH19" i="8"/>
  <c r="CH15" i="8"/>
  <c r="CH25" i="8"/>
  <c r="CH20" i="8"/>
  <c r="CH33" i="8"/>
  <c r="CH14" i="8"/>
  <c r="CH17" i="8"/>
  <c r="CH26" i="8"/>
  <c r="CK34" i="8"/>
  <c r="CK32" i="8"/>
  <c r="CK30" i="8"/>
  <c r="CK28" i="8"/>
  <c r="CK23" i="8"/>
  <c r="CK21" i="8"/>
  <c r="CK33" i="8"/>
  <c r="CK18" i="8"/>
  <c r="CK16" i="8"/>
  <c r="CK31" i="8"/>
  <c r="CK27" i="8"/>
  <c r="CK22" i="8"/>
  <c r="CK25" i="8"/>
  <c r="CK17" i="8"/>
  <c r="CK26" i="8"/>
  <c r="CK15" i="8"/>
  <c r="CK14" i="8"/>
  <c r="CK29" i="8"/>
  <c r="CK24" i="8"/>
  <c r="CK19" i="8"/>
  <c r="CK20" i="8"/>
  <c r="CI31" i="8"/>
  <c r="CI33" i="8"/>
  <c r="CI29" i="8"/>
  <c r="CI22" i="8"/>
  <c r="CI30" i="8"/>
  <c r="CI24" i="8"/>
  <c r="CI17" i="8"/>
  <c r="CI32" i="8"/>
  <c r="CI21" i="8"/>
  <c r="CI19" i="8"/>
  <c r="CI16" i="8"/>
  <c r="CI15" i="8"/>
  <c r="CI14" i="8"/>
  <c r="CI18" i="8"/>
  <c r="CI26" i="8"/>
  <c r="CI25" i="8"/>
  <c r="CI20" i="8"/>
  <c r="CI28" i="8"/>
  <c r="CI27" i="8"/>
  <c r="CI23" i="8"/>
  <c r="CI34" i="8"/>
  <c r="CN33" i="8"/>
  <c r="CN31" i="8"/>
  <c r="CN26" i="8"/>
  <c r="CN25" i="8"/>
  <c r="CN29" i="8"/>
  <c r="CN24" i="8"/>
  <c r="CN21" i="8"/>
  <c r="CN20" i="8"/>
  <c r="CN28" i="8"/>
  <c r="CN19" i="8"/>
  <c r="CN18" i="8"/>
  <c r="CN16" i="8"/>
  <c r="CN34" i="8"/>
  <c r="CN27" i="8"/>
  <c r="CN22" i="8"/>
  <c r="CN15" i="8"/>
  <c r="CN14" i="8"/>
  <c r="CN17" i="8"/>
  <c r="CN30" i="8"/>
  <c r="CN32" i="8"/>
  <c r="CN23" i="8"/>
  <c r="CO17" i="8" l="1"/>
  <c r="CO25" i="8"/>
  <c r="CO27" i="8"/>
  <c r="CI35" i="8"/>
  <c r="CH35" i="8"/>
  <c r="CO14" i="8"/>
  <c r="CO16" i="8"/>
  <c r="CJ35" i="8"/>
  <c r="CN35" i="8"/>
  <c r="CO29" i="8"/>
  <c r="CO28" i="8"/>
  <c r="CO15" i="8"/>
  <c r="CO31" i="8"/>
  <c r="CK35" i="8"/>
  <c r="CO19" i="8"/>
  <c r="CM35" i="8"/>
  <c r="CO34" i="8"/>
  <c r="CO30" i="8"/>
  <c r="CO33" i="8"/>
  <c r="CO18" i="8"/>
  <c r="CO21" i="8"/>
  <c r="CO26" i="8"/>
  <c r="CO20" i="8"/>
  <c r="CO24" i="8"/>
  <c r="CO22" i="8"/>
  <c r="CO23" i="8"/>
  <c r="CO32" i="8"/>
  <c r="CL35" i="8"/>
  <c r="CW18" i="8" l="1"/>
  <c r="CY18" i="8" s="1"/>
  <c r="E10" i="6"/>
  <c r="E10" i="7"/>
  <c r="CW24" i="8"/>
  <c r="CY24" i="8" s="1"/>
  <c r="E16" i="7"/>
  <c r="E16" i="6"/>
  <c r="CW15" i="8"/>
  <c r="CY15" i="8" s="1"/>
  <c r="E7" i="7"/>
  <c r="E7" i="6"/>
  <c r="CW32" i="8"/>
  <c r="CY32" i="8" s="1"/>
  <c r="E24" i="7"/>
  <c r="E24" i="6"/>
  <c r="CW20" i="8"/>
  <c r="CY20" i="8" s="1"/>
  <c r="E12" i="7"/>
  <c r="E12" i="6"/>
  <c r="CW33" i="8"/>
  <c r="CY33" i="8" s="1"/>
  <c r="E25" i="7"/>
  <c r="E25" i="6"/>
  <c r="CW19" i="8"/>
  <c r="CY19" i="8" s="1"/>
  <c r="E11" i="7"/>
  <c r="E11" i="6"/>
  <c r="CW28" i="8"/>
  <c r="CY28" i="8" s="1"/>
  <c r="E20" i="7"/>
  <c r="E20" i="6"/>
  <c r="CW16" i="8"/>
  <c r="CY16" i="8" s="1"/>
  <c r="E8" i="7"/>
  <c r="E8" i="6"/>
  <c r="CW27" i="8"/>
  <c r="CY27" i="8" s="1"/>
  <c r="E19" i="7"/>
  <c r="E19" i="6"/>
  <c r="CW23" i="8"/>
  <c r="CY23" i="8" s="1"/>
  <c r="E15" i="7"/>
  <c r="E15" i="6"/>
  <c r="CW26" i="8"/>
  <c r="CY26" i="8" s="1"/>
  <c r="E18" i="6"/>
  <c r="E18" i="7"/>
  <c r="CW30" i="8"/>
  <c r="CY30" i="8" s="1"/>
  <c r="E22" i="6"/>
  <c r="E22" i="7"/>
  <c r="CW29" i="8"/>
  <c r="CY29" i="8" s="1"/>
  <c r="E21" i="7"/>
  <c r="E21" i="6"/>
  <c r="E6" i="7"/>
  <c r="E6" i="6"/>
  <c r="CW25" i="8"/>
  <c r="CY25" i="8" s="1"/>
  <c r="E17" i="6"/>
  <c r="E17" i="7"/>
  <c r="CW22" i="8"/>
  <c r="CY22" i="8" s="1"/>
  <c r="E14" i="6"/>
  <c r="E14" i="7"/>
  <c r="CW21" i="8"/>
  <c r="CY21" i="8" s="1"/>
  <c r="E13" i="7"/>
  <c r="E13" i="6"/>
  <c r="CW34" i="8"/>
  <c r="CY34" i="8" s="1"/>
  <c r="E26" i="6"/>
  <c r="E26" i="7"/>
  <c r="CW31" i="8"/>
  <c r="CY31" i="8" s="1"/>
  <c r="E23" i="7"/>
  <c r="E23" i="6"/>
  <c r="CW17" i="8"/>
  <c r="CY17" i="8" s="1"/>
  <c r="E9" i="7"/>
  <c r="E9" i="6"/>
  <c r="CW14" i="8"/>
  <c r="CO35" i="8"/>
  <c r="CW35" i="8" l="1"/>
  <c r="CY14" i="8"/>
  <c r="CY35" i="8" l="1"/>
  <c r="CZ14" i="8" s="1"/>
  <c r="CZ35" i="8" l="1"/>
  <c r="CY41" i="8"/>
  <c r="CZ25" i="8"/>
  <c r="CZ17" i="8"/>
  <c r="CZ31" i="8"/>
  <c r="CZ30" i="8"/>
  <c r="CZ32" i="8"/>
  <c r="CZ19" i="8"/>
  <c r="CZ34" i="8"/>
  <c r="CZ20" i="8"/>
  <c r="CZ28" i="8"/>
  <c r="CZ33" i="8"/>
  <c r="CZ16" i="8"/>
  <c r="CZ29" i="8"/>
  <c r="CZ24" i="8"/>
  <c r="CZ27" i="8"/>
  <c r="CZ15" i="8"/>
  <c r="CZ22" i="8"/>
  <c r="CZ23" i="8"/>
  <c r="CZ18" i="8"/>
  <c r="CZ26" i="8"/>
  <c r="CZ21" i="8"/>
  <c r="E28" i="7" l="1"/>
  <c r="F12" i="7" s="1"/>
  <c r="G12" i="7" s="1"/>
  <c r="E29" i="6"/>
  <c r="F18" i="6" s="1"/>
  <c r="G18" i="6" s="1"/>
  <c r="F15" i="6" l="1"/>
  <c r="G15" i="6" s="1"/>
  <c r="F22" i="7"/>
  <c r="G22" i="7" s="1"/>
  <c r="F23" i="6"/>
  <c r="G23" i="6" s="1"/>
  <c r="F9" i="6"/>
  <c r="G9" i="6" s="1"/>
  <c r="F17" i="6"/>
  <c r="G17" i="6" s="1"/>
  <c r="F26" i="6"/>
  <c r="G26" i="6" s="1"/>
  <c r="F20" i="7"/>
  <c r="G20" i="7" s="1"/>
  <c r="F8" i="6"/>
  <c r="G8" i="6" s="1"/>
  <c r="F16" i="6"/>
  <c r="G16" i="6" s="1"/>
  <c r="F26" i="7"/>
  <c r="G26" i="7" s="1"/>
  <c r="F24" i="7"/>
  <c r="G24" i="7" s="1"/>
  <c r="F9" i="7"/>
  <c r="G9" i="7" s="1"/>
  <c r="F19" i="7"/>
  <c r="G19" i="7" s="1"/>
  <c r="F6" i="7"/>
  <c r="G6" i="7" s="1"/>
  <c r="F13" i="7"/>
  <c r="G13" i="7" s="1"/>
  <c r="F17" i="7"/>
  <c r="G17" i="7" s="1"/>
  <c r="F8" i="7"/>
  <c r="G8" i="7" s="1"/>
  <c r="F13" i="6"/>
  <c r="G13" i="6" s="1"/>
  <c r="F11" i="6"/>
  <c r="G11" i="6" s="1"/>
  <c r="F12" i="6"/>
  <c r="G12" i="6" s="1"/>
  <c r="F11" i="7"/>
  <c r="G11" i="7" s="1"/>
  <c r="F20" i="6"/>
  <c r="G20" i="6" s="1"/>
  <c r="F16" i="7"/>
  <c r="G16" i="7" s="1"/>
  <c r="F19" i="6"/>
  <c r="G19" i="6" s="1"/>
  <c r="F6" i="6"/>
  <c r="G6" i="6" s="1"/>
  <c r="F21" i="7"/>
  <c r="G21" i="7" s="1"/>
  <c r="F25" i="6"/>
  <c r="G25" i="6" s="1"/>
  <c r="F23" i="7"/>
  <c r="G23" i="7" s="1"/>
  <c r="F25" i="7"/>
  <c r="G25" i="7" s="1"/>
  <c r="F29" i="6"/>
  <c r="F7" i="6"/>
  <c r="G7" i="6" s="1"/>
  <c r="F10" i="6"/>
  <c r="G10" i="6" s="1"/>
  <c r="F14" i="6"/>
  <c r="G14" i="6" s="1"/>
  <c r="F24" i="6"/>
  <c r="G24" i="6" s="1"/>
  <c r="F22" i="6"/>
  <c r="G22" i="6" s="1"/>
  <c r="F28" i="7"/>
  <c r="F14" i="7"/>
  <c r="G14" i="7" s="1"/>
  <c r="F7" i="7"/>
  <c r="G7" i="7" s="1"/>
  <c r="F10" i="7"/>
  <c r="G10" i="7" s="1"/>
  <c r="F15" i="7"/>
  <c r="G15" i="7" s="1"/>
  <c r="F21" i="6"/>
  <c r="G21" i="6" s="1"/>
  <c r="F18" i="7"/>
  <c r="G18" i="7" s="1"/>
  <c r="G28" i="7" l="1"/>
  <c r="G29" i="6"/>
</calcChain>
</file>

<file path=xl/sharedStrings.xml><?xml version="1.0" encoding="utf-8"?>
<sst xmlns="http://schemas.openxmlformats.org/spreadsheetml/2006/main" count="345" uniqueCount="160">
  <si>
    <t>Summa</t>
  </si>
  <si>
    <t>Kronoberg</t>
  </si>
  <si>
    <t>Uppsala</t>
  </si>
  <si>
    <t>Kalmar</t>
  </si>
  <si>
    <t>Blekinge</t>
  </si>
  <si>
    <t>Skåne</t>
  </si>
  <si>
    <t>Dalarna</t>
  </si>
  <si>
    <t>Gotland</t>
  </si>
  <si>
    <t>Stockholm</t>
  </si>
  <si>
    <t>Gävleborg</t>
  </si>
  <si>
    <t>Avgår riktade medel</t>
  </si>
  <si>
    <t>Södermanland</t>
  </si>
  <si>
    <t>Östergötland</t>
  </si>
  <si>
    <t>Jönköping</t>
  </si>
  <si>
    <t>Halland</t>
  </si>
  <si>
    <t>Västra Götaland</t>
  </si>
  <si>
    <t>Värmland</t>
  </si>
  <si>
    <t>Örebro</t>
  </si>
  <si>
    <t>Västmanland</t>
  </si>
  <si>
    <t>Västernorrland</t>
  </si>
  <si>
    <t>Jämtland</t>
  </si>
  <si>
    <t>Västerbotten</t>
  </si>
  <si>
    <t>Norrbotten</t>
  </si>
  <si>
    <t>Ofördelat</t>
  </si>
  <si>
    <t>Rennäring</t>
  </si>
  <si>
    <t>medel</t>
  </si>
  <si>
    <t>6*3 mnkr</t>
  </si>
  <si>
    <t>Till modellen</t>
  </si>
  <si>
    <t>Medel att fördela</t>
  </si>
  <si>
    <t xml:space="preserve"> </t>
  </si>
  <si>
    <t>VIKT</t>
  </si>
  <si>
    <t xml:space="preserve">folkmängd </t>
  </si>
  <si>
    <t>landyta inkl sjöar &amp; hav</t>
  </si>
  <si>
    <t>kommunantal</t>
  </si>
  <si>
    <t>naturreservat</t>
  </si>
  <si>
    <t>länsanslag</t>
  </si>
  <si>
    <t>Miljöavgifter</t>
  </si>
  <si>
    <t>folkmängd</t>
  </si>
  <si>
    <t xml:space="preserve">areal </t>
  </si>
  <si>
    <t>kommun-</t>
  </si>
  <si>
    <t>reser-</t>
  </si>
  <si>
    <t>läns-</t>
  </si>
  <si>
    <t>inkl strand</t>
  </si>
  <si>
    <t>antal</t>
  </si>
  <si>
    <t>vat</t>
  </si>
  <si>
    <t>anslag</t>
  </si>
  <si>
    <t>SUMMA</t>
  </si>
  <si>
    <t>miljö-</t>
  </si>
  <si>
    <t>avgifter</t>
  </si>
  <si>
    <t xml:space="preserve">GIS </t>
  </si>
  <si>
    <t xml:space="preserve">Integration </t>
  </si>
  <si>
    <t xml:space="preserve">Stiftelserev </t>
  </si>
  <si>
    <t xml:space="preserve">Jaktbrott </t>
  </si>
  <si>
    <t xml:space="preserve">L-h nätverk </t>
  </si>
  <si>
    <t xml:space="preserve">Rovdjursförv </t>
  </si>
  <si>
    <t xml:space="preserve">Åsnen </t>
  </si>
  <si>
    <t xml:space="preserve">Sametinget </t>
  </si>
  <si>
    <t>Summa totalt</t>
  </si>
  <si>
    <t xml:space="preserve">Riktade </t>
  </si>
  <si>
    <t>Extra</t>
  </si>
  <si>
    <t>orter</t>
  </si>
  <si>
    <t>Grund-</t>
  </si>
  <si>
    <t>belopp</t>
  </si>
  <si>
    <t>Inkl KSO</t>
  </si>
  <si>
    <t>32:2</t>
  </si>
  <si>
    <t>Strukturfond</t>
  </si>
  <si>
    <t xml:space="preserve">Adm chefer </t>
  </si>
  <si>
    <t>Från villkor</t>
  </si>
  <si>
    <t>32:1</t>
  </si>
  <si>
    <t>Från anslag</t>
  </si>
  <si>
    <t>parametrar</t>
  </si>
  <si>
    <t xml:space="preserve"> Miljösam. </t>
  </si>
  <si>
    <t xml:space="preserve">Sverige </t>
  </si>
  <si>
    <t xml:space="preserve">Avgår extra orter </t>
  </si>
  <si>
    <t>Avgår grundbelopp</t>
  </si>
  <si>
    <t>omf 2009 KSO</t>
  </si>
  <si>
    <t>Att fördela i modell</t>
  </si>
  <si>
    <t>inkl PLO</t>
  </si>
  <si>
    <t>ej PLO</t>
  </si>
  <si>
    <t>Till parametrar</t>
  </si>
  <si>
    <t>Avgår ap 22 utvanslag</t>
  </si>
  <si>
    <t>Ap 22</t>
  </si>
  <si>
    <t>Gem utv medel</t>
  </si>
  <si>
    <t>Terrr.prgrm</t>
  </si>
  <si>
    <t>konc.</t>
  </si>
  <si>
    <t>stiftelser</t>
  </si>
  <si>
    <t>Kamp</t>
  </si>
  <si>
    <t>sport</t>
  </si>
  <si>
    <t>jordbrukar</t>
  </si>
  <si>
    <t>landsb. stöd</t>
  </si>
  <si>
    <t>djurskydds</t>
  </si>
  <si>
    <t>kontr</t>
  </si>
  <si>
    <t>7 parameter</t>
  </si>
  <si>
    <t>jordbr. landsb. stöd</t>
  </si>
  <si>
    <t>djurskyddskontr</t>
  </si>
  <si>
    <t>medel till Z,AC</t>
  </si>
  <si>
    <t>och BD för</t>
  </si>
  <si>
    <t>neddraget med motsv. belopp</t>
  </si>
  <si>
    <t>i villkor till resp. anslagspost</t>
  </si>
  <si>
    <t>Terrr.prgrm*</t>
  </si>
  <si>
    <t>omf 2009 KSO*</t>
  </si>
  <si>
    <t>*Utbet. till KSO.</t>
  </si>
  <si>
    <t xml:space="preserve">modellen </t>
  </si>
  <si>
    <t>samordning</t>
  </si>
  <si>
    <t>flyktingmott/</t>
  </si>
  <si>
    <t>ensamkomm.</t>
  </si>
  <si>
    <t>överföring</t>
  </si>
  <si>
    <t>jordbr stöd</t>
  </si>
  <si>
    <t>Skåne/Blekinge</t>
  </si>
  <si>
    <t>a-kredit</t>
  </si>
  <si>
    <t>Avfallstransp.</t>
  </si>
  <si>
    <t>BP11</t>
  </si>
  <si>
    <t>plo</t>
  </si>
  <si>
    <t>U-län</t>
  </si>
  <si>
    <t>Havs</t>
  </si>
  <si>
    <t>planering</t>
  </si>
  <si>
    <t>sju</t>
  </si>
  <si>
    <t>extra medel</t>
  </si>
  <si>
    <t>Penningtv</t>
  </si>
  <si>
    <t>och 2012</t>
  </si>
  <si>
    <t>2009 och</t>
  </si>
  <si>
    <t>utrednings</t>
  </si>
  <si>
    <t xml:space="preserve">kontoren </t>
  </si>
  <si>
    <t>centralmynd</t>
  </si>
  <si>
    <t>för intern delg</t>
  </si>
  <si>
    <t xml:space="preserve">slopanden av Hermesavgiften. From 2013 regleras detta genom att </t>
  </si>
  <si>
    <t>grundbeloppet justeras isf egen kolumn under riktade medel.</t>
  </si>
  <si>
    <t>konc. av</t>
  </si>
  <si>
    <t>MPD</t>
  </si>
  <si>
    <t xml:space="preserve">konc. av </t>
  </si>
  <si>
    <t>div. verks.</t>
  </si>
  <si>
    <t>PLO:</t>
  </si>
  <si>
    <t>ej plo</t>
  </si>
  <si>
    <t>Grundbelopp</t>
  </si>
  <si>
    <t>Avrundningseffekt</t>
  </si>
  <si>
    <t>civilt försvar</t>
  </si>
  <si>
    <t>BP18</t>
  </si>
  <si>
    <t>djurfrågor</t>
  </si>
  <si>
    <t>seveso</t>
  </si>
  <si>
    <t>7 parametrar</t>
  </si>
  <si>
    <t>GRÖT</t>
  </si>
  <si>
    <t>Ofördelat 2018</t>
  </si>
  <si>
    <t>djurskydd</t>
  </si>
  <si>
    <t>BP17</t>
  </si>
  <si>
    <t>21* 37,9 mnkr</t>
  </si>
  <si>
    <t>Modell 2019, avgår riktade medel som fördelats sedan 1998 (berörda poster uppräknat i 2019-års nivå)</t>
  </si>
  <si>
    <t>BP19</t>
  </si>
  <si>
    <t>Neddrag</t>
  </si>
  <si>
    <t>Miljötillsyn</t>
  </si>
  <si>
    <t>Grundbeloppet = 34,0 - 0,1 * 1,0057. 2012 drogs 100 tkr från varje lst för</t>
  </si>
  <si>
    <t>UTVECKLINGSMEDEL</t>
  </si>
  <si>
    <t>DJURFRÅGOR</t>
  </si>
  <si>
    <t>Övergripande fördelning enligt riksdagsbeslut</t>
  </si>
  <si>
    <t>Att fördela, år 2019</t>
  </si>
  <si>
    <t>avgift</t>
  </si>
  <si>
    <t>DEN SAMLADE FÖRDELNINGEN</t>
  </si>
  <si>
    <t>RESULTAT PER PARAMETER</t>
  </si>
  <si>
    <t>Totalt</t>
  </si>
  <si>
    <t>DE SJU PARAMETRARNA</t>
  </si>
  <si>
    <t>EU:s jordbruksstöd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</si>
</sst>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r_-;\-* #,##0.00\ _k_r_-;_-* &quot;-&quot;??\ _k_r_-;_-@_-"/>
    <numFmt numFmtId="164" formatCode="0.000"/>
    <numFmt numFmtId="165" formatCode="0.0%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OrigGarmnd BT"/>
      <family val="1"/>
    </font>
    <font>
      <sz val="8"/>
      <color indexed="10"/>
      <name val="OrigGarmnd BT"/>
      <family val="1"/>
    </font>
    <font>
      <b/>
      <sz val="8"/>
      <name val="Arial"/>
      <family val="2"/>
    </font>
    <font>
      <b/>
      <sz val="8"/>
      <name val="OrigGarmnd BT"/>
      <family val="1"/>
    </font>
    <font>
      <sz val="8"/>
      <color indexed="11"/>
      <name val="Arial"/>
      <family val="2"/>
    </font>
    <font>
      <b/>
      <sz val="11"/>
      <name val="OrigGarmnd BT"/>
      <family val="1"/>
    </font>
    <font>
      <sz val="8"/>
      <color indexed="10"/>
      <name val="Arial"/>
      <family val="2"/>
    </font>
    <font>
      <b/>
      <i/>
      <sz val="8"/>
      <name val="Arial"/>
      <family val="2"/>
    </font>
    <font>
      <i/>
      <sz val="8"/>
      <color indexed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color rgb="FFFFFF00"/>
      <name val="Arial"/>
      <family val="2"/>
    </font>
    <font>
      <sz val="10"/>
      <color rgb="FFFFFF0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trike/>
      <sz val="8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OrigGarmnd BT"/>
      <family val="1"/>
    </font>
  </fonts>
  <fills count="4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indexed="41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/>
        <bgColor indexed="41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4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29" fillId="0" borderId="22" applyNumberFormat="0" applyFill="0" applyAlignment="0" applyProtection="0"/>
    <xf numFmtId="0" fontId="30" fillId="0" borderId="23" applyNumberFormat="0" applyFill="0" applyAlignment="0" applyProtection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8" borderId="24" applyNumberFormat="0" applyAlignment="0" applyProtection="0"/>
    <xf numFmtId="0" fontId="35" fillId="9" borderId="25" applyNumberFormat="0" applyAlignment="0" applyProtection="0"/>
    <xf numFmtId="0" fontId="36" fillId="9" borderId="24" applyNumberFormat="0" applyAlignment="0" applyProtection="0"/>
    <xf numFmtId="0" fontId="37" fillId="0" borderId="26" applyNumberFormat="0" applyFill="0" applyAlignment="0" applyProtection="0"/>
    <xf numFmtId="0" fontId="38" fillId="10" borderId="2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9" applyNumberFormat="0" applyFill="0" applyAlignment="0" applyProtection="0"/>
    <xf numFmtId="0" fontId="4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42" fillId="35" borderId="0" applyNumberFormat="0" applyBorder="0" applyAlignment="0" applyProtection="0"/>
    <xf numFmtId="0" fontId="3" fillId="11" borderId="28" applyNumberFormat="0" applyFont="0" applyAlignment="0" applyProtection="0"/>
    <xf numFmtId="43" fontId="5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28" applyNumberFormat="0" applyFont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1">
    <xf numFmtId="0" fontId="0" fillId="0" borderId="0" xfId="0"/>
    <xf numFmtId="3" fontId="0" fillId="0" borderId="0" xfId="0" applyNumberFormat="1"/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8" fillId="0" borderId="0" xfId="0" applyFont="1" applyBorder="1"/>
    <xf numFmtId="3" fontId="8" fillId="0" borderId="0" xfId="0" applyNumberFormat="1" applyFont="1" applyBorder="1"/>
    <xf numFmtId="3" fontId="8" fillId="0" borderId="0" xfId="0" applyNumberFormat="1" applyFont="1" applyFill="1" applyBorder="1"/>
    <xf numFmtId="9" fontId="8" fillId="0" borderId="0" xfId="0" applyNumberFormat="1" applyFont="1" applyBorder="1"/>
    <xf numFmtId="165" fontId="6" fillId="0" borderId="0" xfId="1" applyNumberFormat="1" applyFont="1" applyFill="1" applyBorder="1"/>
    <xf numFmtId="0" fontId="12" fillId="0" borderId="0" xfId="0" applyFont="1" applyBorder="1"/>
    <xf numFmtId="0" fontId="12" fillId="0" borderId="0" xfId="0" applyFont="1" applyFill="1" applyBorder="1"/>
    <xf numFmtId="165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/>
    <xf numFmtId="0" fontId="12" fillId="0" borderId="0" xfId="0" quotePrefix="1" applyFont="1" applyFill="1" applyBorder="1" applyAlignment="1">
      <alignment horizontal="right"/>
    </xf>
    <xf numFmtId="0" fontId="6" fillId="0" borderId="0" xfId="0" quotePrefix="1" applyFont="1" applyFill="1" applyBorder="1" applyAlignment="1">
      <alignment horizontal="right"/>
    </xf>
    <xf numFmtId="0" fontId="0" fillId="0" borderId="0" xfId="0" applyAlignment="1">
      <alignment horizontal="right"/>
    </xf>
    <xf numFmtId="3" fontId="6" fillId="2" borderId="0" xfId="0" applyNumberFormat="1" applyFont="1" applyFill="1" applyBorder="1"/>
    <xf numFmtId="165" fontId="12" fillId="0" borderId="0" xfId="1" applyNumberFormat="1" applyFont="1" applyFill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5" fontId="14" fillId="0" borderId="0" xfId="1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6" fillId="0" borderId="0" xfId="0" quotePrefix="1" applyFont="1" applyFill="1" applyBorder="1"/>
    <xf numFmtId="3" fontId="8" fillId="0" borderId="0" xfId="0" applyNumberFormat="1" applyFont="1" applyFill="1" applyBorder="1" applyAlignment="1">
      <alignment horizontal="right"/>
    </xf>
    <xf numFmtId="0" fontId="6" fillId="2" borderId="0" xfId="0" applyFont="1" applyFill="1" applyBorder="1"/>
    <xf numFmtId="0" fontId="6" fillId="2" borderId="15" xfId="0" applyFont="1" applyFill="1" applyBorder="1"/>
    <xf numFmtId="0" fontId="6" fillId="2" borderId="16" xfId="0" applyFont="1" applyFill="1" applyBorder="1"/>
    <xf numFmtId="3" fontId="6" fillId="3" borderId="0" xfId="0" applyNumberFormat="1" applyFont="1" applyFill="1" applyBorder="1"/>
    <xf numFmtId="3" fontId="6" fillId="3" borderId="0" xfId="0" applyNumberFormat="1" applyFont="1" applyFill="1" applyBorder="1" applyAlignment="1">
      <alignment horizontal="right"/>
    </xf>
    <xf numFmtId="3" fontId="8" fillId="3" borderId="0" xfId="0" applyNumberFormat="1" applyFont="1" applyFill="1" applyBorder="1" applyAlignment="1">
      <alignment horizontal="right"/>
    </xf>
    <xf numFmtId="165" fontId="9" fillId="3" borderId="0" xfId="1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horizontal="right"/>
    </xf>
    <xf numFmtId="165" fontId="9" fillId="3" borderId="0" xfId="1" quotePrefix="1" applyNumberFormat="1" applyFont="1" applyFill="1" applyBorder="1" applyAlignment="1">
      <alignment horizontal="right"/>
    </xf>
    <xf numFmtId="3" fontId="8" fillId="3" borderId="0" xfId="0" quotePrefix="1" applyNumberFormat="1" applyFont="1" applyFill="1" applyBorder="1" applyAlignment="1">
      <alignment horizontal="right"/>
    </xf>
    <xf numFmtId="165" fontId="17" fillId="3" borderId="0" xfId="1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9" fontId="6" fillId="3" borderId="0" xfId="1" applyFont="1" applyFill="1" applyBorder="1" applyAlignment="1">
      <alignment horizontal="right"/>
    </xf>
    <xf numFmtId="9" fontId="8" fillId="3" borderId="0" xfId="1" applyFont="1" applyFill="1" applyBorder="1" applyAlignment="1">
      <alignment horizontal="right"/>
    </xf>
    <xf numFmtId="0" fontId="9" fillId="3" borderId="0" xfId="0" applyFont="1" applyFill="1" applyBorder="1" applyAlignment="1">
      <alignment horizontal="right"/>
    </xf>
    <xf numFmtId="3" fontId="6" fillId="3" borderId="0" xfId="1" applyNumberFormat="1" applyFont="1" applyFill="1" applyBorder="1" applyAlignment="1">
      <alignment horizontal="right"/>
    </xf>
    <xf numFmtId="3" fontId="8" fillId="3" borderId="0" xfId="1" applyNumberFormat="1" applyFont="1" applyFill="1" applyBorder="1" applyAlignment="1">
      <alignment horizontal="right"/>
    </xf>
    <xf numFmtId="10" fontId="9" fillId="3" borderId="0" xfId="1" applyNumberFormat="1" applyFont="1" applyFill="1" applyBorder="1" applyAlignment="1">
      <alignment horizontal="right"/>
    </xf>
    <xf numFmtId="3" fontId="11" fillId="0" borderId="0" xfId="0" applyNumberFormat="1" applyFont="1" applyFill="1" applyBorder="1"/>
    <xf numFmtId="3" fontId="10" fillId="0" borderId="0" xfId="0" applyNumberFormat="1" applyFont="1" applyFill="1" applyBorder="1"/>
    <xf numFmtId="165" fontId="9" fillId="3" borderId="0" xfId="1" applyNumberFormat="1" applyFont="1" applyFill="1" applyBorder="1"/>
    <xf numFmtId="0" fontId="9" fillId="3" borderId="0" xfId="0" applyFont="1" applyFill="1" applyBorder="1"/>
    <xf numFmtId="165" fontId="18" fillId="3" borderId="0" xfId="1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9" fontId="6" fillId="0" borderId="0" xfId="0" applyNumberFormat="1" applyFont="1" applyFill="1" applyBorder="1" applyAlignment="1">
      <alignment horizontal="right"/>
    </xf>
    <xf numFmtId="9" fontId="6" fillId="0" borderId="0" xfId="1" applyFont="1" applyFill="1" applyBorder="1"/>
    <xf numFmtId="1" fontId="7" fillId="0" borderId="0" xfId="0" quotePrefix="1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7" fillId="0" borderId="0" xfId="0" quotePrefix="1" applyNumberFormat="1" applyFont="1" applyFill="1" applyBorder="1" applyAlignment="1">
      <alignment horizontal="right"/>
    </xf>
    <xf numFmtId="9" fontId="7" fillId="0" borderId="0" xfId="1" applyFont="1" applyFill="1" applyBorder="1" applyAlignment="1">
      <alignment horizontal="right"/>
    </xf>
    <xf numFmtId="9" fontId="6" fillId="0" borderId="0" xfId="1" applyFont="1" applyFill="1" applyBorder="1" applyAlignment="1">
      <alignment horizontal="right"/>
    </xf>
    <xf numFmtId="10" fontId="6" fillId="0" borderId="0" xfId="1" applyNumberFormat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0" fontId="20" fillId="0" borderId="0" xfId="0" applyFont="1" applyFill="1" applyBorder="1"/>
    <xf numFmtId="3" fontId="12" fillId="0" borderId="0" xfId="0" applyNumberFormat="1" applyFont="1" applyFill="1" applyBorder="1"/>
    <xf numFmtId="9" fontId="12" fillId="0" borderId="0" xfId="1" applyFont="1" applyFill="1" applyBorder="1" applyAlignment="1">
      <alignment horizontal="right"/>
    </xf>
    <xf numFmtId="1" fontId="12" fillId="0" borderId="0" xfId="0" quotePrefix="1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left"/>
    </xf>
    <xf numFmtId="10" fontId="6" fillId="0" borderId="0" xfId="1" quotePrefix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1" fontId="19" fillId="0" borderId="0" xfId="0" applyNumberFormat="1" applyFont="1" applyFill="1" applyBorder="1" applyAlignment="1">
      <alignment horizontal="right"/>
    </xf>
    <xf numFmtId="3" fontId="19" fillId="0" borderId="0" xfId="1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0" fontId="15" fillId="0" borderId="0" xfId="0" applyFont="1" applyBorder="1"/>
    <xf numFmtId="3" fontId="21" fillId="0" borderId="0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9" fontId="22" fillId="0" borderId="0" xfId="1" applyFont="1" applyFill="1" applyBorder="1" applyAlignment="1">
      <alignment horizontal="right"/>
    </xf>
    <xf numFmtId="3" fontId="21" fillId="0" borderId="0" xfId="1" applyNumberFormat="1" applyFont="1" applyFill="1" applyBorder="1" applyAlignment="1">
      <alignment horizontal="right"/>
    </xf>
    <xf numFmtId="165" fontId="22" fillId="0" borderId="0" xfId="1" applyNumberFormat="1" applyFont="1" applyFill="1" applyBorder="1" applyAlignment="1">
      <alignment horizontal="right"/>
    </xf>
    <xf numFmtId="3" fontId="22" fillId="0" borderId="0" xfId="1" applyNumberFormat="1" applyFont="1" applyFill="1" applyBorder="1" applyAlignment="1">
      <alignment horizontal="right"/>
    </xf>
    <xf numFmtId="0" fontId="0" fillId="0" borderId="11" xfId="0" applyBorder="1"/>
    <xf numFmtId="0" fontId="0" fillId="0" borderId="0" xfId="0" applyBorder="1" applyAlignment="1">
      <alignment horizontal="right"/>
    </xf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right"/>
    </xf>
    <xf numFmtId="0" fontId="0" fillId="0" borderId="17" xfId="0" applyBorder="1"/>
    <xf numFmtId="0" fontId="6" fillId="0" borderId="0" xfId="0" applyFont="1"/>
    <xf numFmtId="3" fontId="0" fillId="0" borderId="13" xfId="0" applyNumberFormat="1" applyBorder="1"/>
    <xf numFmtId="0" fontId="12" fillId="0" borderId="0" xfId="0" applyFont="1" applyBorder="1" applyAlignment="1">
      <alignment horizontal="center"/>
    </xf>
    <xf numFmtId="164" fontId="12" fillId="0" borderId="0" xfId="0" applyNumberFormat="1" applyFont="1" applyBorder="1"/>
    <xf numFmtId="1" fontId="12" fillId="0" borderId="0" xfId="0" applyNumberFormat="1" applyFont="1" applyBorder="1"/>
    <xf numFmtId="3" fontId="12" fillId="0" borderId="0" xfId="0" applyNumberFormat="1" applyFont="1" applyBorder="1"/>
    <xf numFmtId="0" fontId="0" fillId="0" borderId="0" xfId="0" applyFill="1" applyBorder="1" applyAlignment="1">
      <alignment horizontal="right"/>
    </xf>
    <xf numFmtId="0" fontId="0" fillId="0" borderId="16" xfId="0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0" fontId="0" fillId="0" borderId="0" xfId="0"/>
    <xf numFmtId="3" fontId="0" fillId="0" borderId="0" xfId="0" applyNumberFormat="1"/>
    <xf numFmtId="0" fontId="5" fillId="0" borderId="0" xfId="0" applyFont="1" applyFill="1" applyBorder="1"/>
    <xf numFmtId="0" fontId="5" fillId="0" borderId="11" xfId="0" applyFont="1" applyFill="1" applyBorder="1"/>
    <xf numFmtId="0" fontId="5" fillId="0" borderId="13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0" fontId="5" fillId="0" borderId="15" xfId="0" applyFont="1" applyFill="1" applyBorder="1"/>
    <xf numFmtId="0" fontId="5" fillId="0" borderId="16" xfId="0" applyFont="1" applyFill="1" applyBorder="1" applyAlignment="1">
      <alignment horizontal="right"/>
    </xf>
    <xf numFmtId="3" fontId="19" fillId="0" borderId="16" xfId="0" applyNumberFormat="1" applyFont="1" applyFill="1" applyBorder="1" applyAlignment="1">
      <alignment horizontal="right"/>
    </xf>
    <xf numFmtId="2" fontId="5" fillId="0" borderId="16" xfId="0" applyNumberFormat="1" applyFont="1" applyFill="1" applyBorder="1" applyAlignment="1">
      <alignment horizontal="right"/>
    </xf>
    <xf numFmtId="0" fontId="5" fillId="0" borderId="17" xfId="0" applyFont="1" applyFill="1" applyBorder="1" applyAlignment="1">
      <alignment horizontal="right"/>
    </xf>
    <xf numFmtId="0" fontId="0" fillId="36" borderId="0" xfId="0" applyFill="1" applyBorder="1" applyAlignment="1">
      <alignment horizontal="right"/>
    </xf>
    <xf numFmtId="0" fontId="0" fillId="36" borderId="5" xfId="0" applyFill="1" applyBorder="1"/>
    <xf numFmtId="0" fontId="46" fillId="37" borderId="9" xfId="0" applyFont="1" applyFill="1" applyBorder="1"/>
    <xf numFmtId="0" fontId="46" fillId="37" borderId="10" xfId="0" applyFont="1" applyFill="1" applyBorder="1"/>
    <xf numFmtId="3" fontId="46" fillId="37" borderId="10" xfId="0" applyNumberFormat="1" applyFont="1" applyFill="1" applyBorder="1" applyAlignment="1">
      <alignment horizontal="right"/>
    </xf>
    <xf numFmtId="0" fontId="46" fillId="37" borderId="12" xfId="0" applyFont="1" applyFill="1" applyBorder="1"/>
    <xf numFmtId="0" fontId="45" fillId="37" borderId="11" xfId="0" applyFont="1" applyFill="1" applyBorder="1"/>
    <xf numFmtId="0" fontId="45" fillId="37" borderId="0" xfId="0" applyFont="1" applyFill="1" applyBorder="1"/>
    <xf numFmtId="0" fontId="45" fillId="37" borderId="13" xfId="0" applyFont="1" applyFill="1" applyBorder="1"/>
    <xf numFmtId="0" fontId="47" fillId="0" borderId="0" xfId="0" applyFont="1" applyFill="1" applyBorder="1"/>
    <xf numFmtId="0" fontId="23" fillId="36" borderId="0" xfId="0" applyFont="1" applyFill="1" applyBorder="1" applyAlignment="1">
      <alignment horizontal="right"/>
    </xf>
    <xf numFmtId="0" fontId="6" fillId="36" borderId="0" xfId="0" applyFont="1" applyFill="1" applyBorder="1"/>
    <xf numFmtId="0" fontId="6" fillId="36" borderId="0" xfId="0" applyFont="1" applyFill="1" applyBorder="1" applyAlignment="1">
      <alignment horizontal="right"/>
    </xf>
    <xf numFmtId="0" fontId="24" fillId="36" borderId="0" xfId="0" applyFont="1" applyFill="1" applyBorder="1" applyAlignment="1">
      <alignment horizontal="right"/>
    </xf>
    <xf numFmtId="3" fontId="6" fillId="36" borderId="0" xfId="0" applyNumberFormat="1" applyFont="1" applyFill="1" applyBorder="1" applyAlignment="1">
      <alignment horizontal="right"/>
    </xf>
    <xf numFmtId="0" fontId="8" fillId="36" borderId="0" xfId="0" applyFont="1" applyFill="1" applyBorder="1" applyAlignment="1">
      <alignment horizontal="right"/>
    </xf>
    <xf numFmtId="46" fontId="6" fillId="36" borderId="0" xfId="0" quotePrefix="1" applyNumberFormat="1" applyFont="1" applyFill="1" applyBorder="1" applyAlignment="1">
      <alignment horizontal="right"/>
    </xf>
    <xf numFmtId="0" fontId="6" fillId="37" borderId="10" xfId="0" applyFont="1" applyFill="1" applyBorder="1" applyAlignment="1">
      <alignment horizontal="right"/>
    </xf>
    <xf numFmtId="0" fontId="0" fillId="37" borderId="10" xfId="0" applyFill="1" applyBorder="1"/>
    <xf numFmtId="0" fontId="23" fillId="37" borderId="0" xfId="0" applyFont="1" applyFill="1" applyBorder="1" applyAlignment="1">
      <alignment horizontal="right"/>
    </xf>
    <xf numFmtId="0" fontId="6" fillId="37" borderId="0" xfId="0" applyFont="1" applyFill="1" applyBorder="1" applyAlignment="1">
      <alignment horizontal="right"/>
    </xf>
    <xf numFmtId="0" fontId="0" fillId="37" borderId="0" xfId="0" applyFill="1" applyBorder="1"/>
    <xf numFmtId="0" fontId="24" fillId="37" borderId="0" xfId="0" applyFont="1" applyFill="1" applyBorder="1" applyAlignment="1">
      <alignment horizontal="right"/>
    </xf>
    <xf numFmtId="0" fontId="26" fillId="37" borderId="0" xfId="0" applyFont="1" applyFill="1" applyBorder="1"/>
    <xf numFmtId="0" fontId="5" fillId="37" borderId="0" xfId="0" applyFont="1" applyFill="1" applyBorder="1"/>
    <xf numFmtId="0" fontId="48" fillId="37" borderId="20" xfId="0" applyFont="1" applyFill="1" applyBorder="1" applyAlignment="1">
      <alignment horizontal="left"/>
    </xf>
    <xf numFmtId="0" fontId="49" fillId="37" borderId="10" xfId="0" applyFont="1" applyFill="1" applyBorder="1" applyAlignment="1">
      <alignment horizontal="right"/>
    </xf>
    <xf numFmtId="0" fontId="49" fillId="37" borderId="0" xfId="0" applyFont="1" applyFill="1" applyBorder="1" applyAlignment="1">
      <alignment horizontal="right"/>
    </xf>
    <xf numFmtId="3" fontId="7" fillId="0" borderId="0" xfId="0" applyNumberFormat="1" applyFont="1" applyFill="1" applyBorder="1"/>
    <xf numFmtId="0" fontId="7" fillId="36" borderId="0" xfId="0" applyFont="1" applyFill="1" applyBorder="1"/>
    <xf numFmtId="0" fontId="12" fillId="36" borderId="0" xfId="0" applyFont="1" applyFill="1" applyBorder="1"/>
    <xf numFmtId="3" fontId="6" fillId="4" borderId="13" xfId="0" applyNumberFormat="1" applyFont="1" applyFill="1" applyBorder="1" applyAlignment="1">
      <alignment horizontal="right"/>
    </xf>
    <xf numFmtId="0" fontId="6" fillId="36" borderId="5" xfId="0" applyFont="1" applyFill="1" applyBorder="1" applyAlignment="1">
      <alignment horizontal="right"/>
    </xf>
    <xf numFmtId="3" fontId="6" fillId="36" borderId="5" xfId="0" applyNumberFormat="1" applyFont="1" applyFill="1" applyBorder="1" applyAlignment="1">
      <alignment horizontal="right"/>
    </xf>
    <xf numFmtId="0" fontId="8" fillId="36" borderId="5" xfId="0" applyFont="1" applyFill="1" applyBorder="1" applyAlignment="1">
      <alignment horizontal="right"/>
    </xf>
    <xf numFmtId="0" fontId="6" fillId="36" borderId="5" xfId="0" applyFont="1" applyFill="1" applyBorder="1"/>
    <xf numFmtId="3" fontId="6" fillId="36" borderId="31" xfId="0" applyNumberFormat="1" applyFont="1" applyFill="1" applyBorder="1" applyAlignment="1">
      <alignment horizontal="right"/>
    </xf>
    <xf numFmtId="0" fontId="6" fillId="37" borderId="0" xfId="0" applyFont="1" applyFill="1" applyBorder="1"/>
    <xf numFmtId="0" fontId="8" fillId="36" borderId="0" xfId="0" applyFont="1" applyFill="1" applyBorder="1"/>
    <xf numFmtId="0" fontId="12" fillId="0" borderId="13" xfId="0" applyFont="1" applyFill="1" applyBorder="1"/>
    <xf numFmtId="0" fontId="6" fillId="0" borderId="16" xfId="0" applyFont="1" applyFill="1" applyBorder="1"/>
    <xf numFmtId="3" fontId="10" fillId="36" borderId="2" xfId="0" applyNumberFormat="1" applyFont="1" applyFill="1" applyBorder="1"/>
    <xf numFmtId="0" fontId="7" fillId="4" borderId="0" xfId="0" applyFont="1" applyFill="1" applyBorder="1"/>
    <xf numFmtId="0" fontId="6" fillId="4" borderId="0" xfId="0" applyFont="1" applyFill="1" applyBorder="1"/>
    <xf numFmtId="0" fontId="10" fillId="36" borderId="0" xfId="0" applyFont="1" applyFill="1" applyBorder="1"/>
    <xf numFmtId="0" fontId="13" fillId="36" borderId="0" xfId="0" applyFont="1" applyFill="1" applyBorder="1"/>
    <xf numFmtId="3" fontId="13" fillId="36" borderId="0" xfId="0" applyNumberFormat="1" applyFont="1" applyFill="1" applyBorder="1"/>
    <xf numFmtId="3" fontId="12" fillId="36" borderId="0" xfId="0" applyNumberFormat="1" applyFont="1" applyFill="1" applyBorder="1"/>
    <xf numFmtId="3" fontId="8" fillId="36" borderId="0" xfId="0" applyNumberFormat="1" applyFont="1" applyFill="1" applyBorder="1"/>
    <xf numFmtId="3" fontId="6" fillId="36" borderId="0" xfId="0" applyNumberFormat="1" applyFont="1" applyFill="1" applyBorder="1"/>
    <xf numFmtId="0" fontId="7" fillId="36" borderId="35" xfId="0" applyFont="1" applyFill="1" applyBorder="1"/>
    <xf numFmtId="3" fontId="7" fillId="36" borderId="35" xfId="0" applyNumberFormat="1" applyFont="1" applyFill="1" applyBorder="1"/>
    <xf numFmtId="0" fontId="6" fillId="39" borderId="11" xfId="0" applyFont="1" applyFill="1" applyBorder="1"/>
    <xf numFmtId="3" fontId="6" fillId="40" borderId="13" xfId="0" applyNumberFormat="1" applyFont="1" applyFill="1" applyBorder="1" applyAlignment="1">
      <alignment horizontal="right"/>
    </xf>
    <xf numFmtId="3" fontId="6" fillId="39" borderId="0" xfId="0" applyNumberFormat="1" applyFont="1" applyFill="1" applyBorder="1" applyAlignment="1">
      <alignment horizontal="right"/>
    </xf>
    <xf numFmtId="10" fontId="6" fillId="39" borderId="0" xfId="0" applyNumberFormat="1" applyFont="1" applyFill="1" applyBorder="1" applyAlignment="1">
      <alignment horizontal="right"/>
    </xf>
    <xf numFmtId="3" fontId="6" fillId="40" borderId="17" xfId="0" applyNumberFormat="1" applyFont="1" applyFill="1" applyBorder="1" applyAlignment="1">
      <alignment horizontal="right"/>
    </xf>
    <xf numFmtId="0" fontId="6" fillId="39" borderId="15" xfId="0" applyFont="1" applyFill="1" applyBorder="1"/>
    <xf numFmtId="0" fontId="6" fillId="39" borderId="16" xfId="0" applyFont="1" applyFill="1" applyBorder="1" applyAlignment="1">
      <alignment horizontal="right"/>
    </xf>
    <xf numFmtId="3" fontId="6" fillId="39" borderId="16" xfId="0" applyNumberFormat="1" applyFont="1" applyFill="1" applyBorder="1" applyAlignment="1">
      <alignment horizontal="right"/>
    </xf>
    <xf numFmtId="0" fontId="6" fillId="41" borderId="11" xfId="0" applyFont="1" applyFill="1" applyBorder="1"/>
    <xf numFmtId="0" fontId="12" fillId="41" borderId="0" xfId="0" applyFont="1" applyFill="1" applyBorder="1"/>
    <xf numFmtId="0" fontId="12" fillId="41" borderId="7" xfId="0" applyFont="1" applyFill="1" applyBorder="1" applyAlignment="1">
      <alignment horizontal="right"/>
    </xf>
    <xf numFmtId="0" fontId="6" fillId="41" borderId="1" xfId="0" applyFont="1" applyFill="1" applyBorder="1"/>
    <xf numFmtId="0" fontId="6" fillId="41" borderId="0" xfId="0" applyFont="1" applyFill="1" applyBorder="1"/>
    <xf numFmtId="3" fontId="6" fillId="41" borderId="0" xfId="0" applyNumberFormat="1" applyFont="1" applyFill="1" applyBorder="1"/>
    <xf numFmtId="3" fontId="6" fillId="36" borderId="13" xfId="0" applyNumberFormat="1" applyFont="1" applyFill="1" applyBorder="1"/>
    <xf numFmtId="0" fontId="12" fillId="41" borderId="0" xfId="0" applyFont="1" applyFill="1" applyBorder="1" applyAlignment="1">
      <alignment horizontal="right"/>
    </xf>
    <xf numFmtId="0" fontId="6" fillId="36" borderId="3" xfId="0" applyFont="1" applyFill="1" applyBorder="1"/>
    <xf numFmtId="1" fontId="12" fillId="41" borderId="0" xfId="0" applyNumberFormat="1" applyFont="1" applyFill="1" applyBorder="1" applyAlignment="1">
      <alignment horizontal="right"/>
    </xf>
    <xf numFmtId="1" fontId="7" fillId="36" borderId="13" xfId="0" quotePrefix="1" applyNumberFormat="1" applyFont="1" applyFill="1" applyBorder="1" applyAlignment="1">
      <alignment horizontal="right"/>
    </xf>
    <xf numFmtId="0" fontId="12" fillId="41" borderId="2" xfId="0" applyFont="1" applyFill="1" applyBorder="1" applyAlignment="1">
      <alignment horizontal="right"/>
    </xf>
    <xf numFmtId="0" fontId="6" fillId="41" borderId="3" xfId="0" applyFont="1" applyFill="1" applyBorder="1" applyAlignment="1">
      <alignment horizontal="right"/>
    </xf>
    <xf numFmtId="0" fontId="6" fillId="41" borderId="0" xfId="0" applyFont="1" applyFill="1" applyBorder="1" applyAlignment="1">
      <alignment horizontal="right"/>
    </xf>
    <xf numFmtId="9" fontId="12" fillId="41" borderId="0" xfId="0" applyNumberFormat="1" applyFont="1" applyFill="1" applyBorder="1" applyAlignment="1">
      <alignment horizontal="right"/>
    </xf>
    <xf numFmtId="1" fontId="7" fillId="36" borderId="13" xfId="0" applyNumberFormat="1" applyFont="1" applyFill="1" applyBorder="1" applyAlignment="1">
      <alignment horizontal="right"/>
    </xf>
    <xf numFmtId="0" fontId="6" fillId="41" borderId="34" xfId="0" applyFont="1" applyFill="1" applyBorder="1"/>
    <xf numFmtId="0" fontId="12" fillId="41" borderId="5" xfId="0" applyFont="1" applyFill="1" applyBorder="1" applyAlignment="1">
      <alignment horizontal="right"/>
    </xf>
    <xf numFmtId="0" fontId="12" fillId="41" borderId="4" xfId="0" applyFont="1" applyFill="1" applyBorder="1" applyAlignment="1">
      <alignment horizontal="right"/>
    </xf>
    <xf numFmtId="0" fontId="6" fillId="41" borderId="6" xfId="0" applyFont="1" applyFill="1" applyBorder="1" applyAlignment="1">
      <alignment horizontal="right"/>
    </xf>
    <xf numFmtId="0" fontId="6" fillId="41" borderId="5" xfId="0" applyFont="1" applyFill="1" applyBorder="1" applyAlignment="1">
      <alignment horizontal="right"/>
    </xf>
    <xf numFmtId="1" fontId="12" fillId="41" borderId="5" xfId="0" applyNumberFormat="1" applyFont="1" applyFill="1" applyBorder="1" applyAlignment="1">
      <alignment horizontal="right"/>
    </xf>
    <xf numFmtId="9" fontId="12" fillId="41" borderId="5" xfId="0" applyNumberFormat="1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12" fillId="4" borderId="18" xfId="0" applyFont="1" applyFill="1" applyBorder="1" applyAlignment="1">
      <alignment horizontal="center"/>
    </xf>
    <xf numFmtId="165" fontId="8" fillId="4" borderId="8" xfId="1" applyNumberFormat="1" applyFont="1" applyFill="1" applyBorder="1"/>
    <xf numFmtId="165" fontId="8" fillId="4" borderId="8" xfId="1" quotePrefix="1" applyNumberFormat="1" applyFont="1" applyFill="1" applyBorder="1"/>
    <xf numFmtId="165" fontId="10" fillId="4" borderId="8" xfId="0" applyNumberFormat="1" applyFont="1" applyFill="1" applyBorder="1"/>
    <xf numFmtId="165" fontId="13" fillId="4" borderId="19" xfId="0" applyNumberFormat="1" applyFont="1" applyFill="1" applyBorder="1"/>
    <xf numFmtId="0" fontId="49" fillId="36" borderId="0" xfId="0" applyFont="1" applyFill="1" applyBorder="1"/>
    <xf numFmtId="0" fontId="50" fillId="36" borderId="2" xfId="0" applyFont="1" applyFill="1" applyBorder="1"/>
    <xf numFmtId="3" fontId="7" fillId="0" borderId="36" xfId="0" applyNumberFormat="1" applyFont="1" applyFill="1" applyBorder="1" applyAlignment="1">
      <alignment horizontal="right"/>
    </xf>
    <xf numFmtId="3" fontId="12" fillId="36" borderId="37" xfId="0" applyNumberFormat="1" applyFont="1" applyFill="1" applyBorder="1" applyAlignment="1">
      <alignment horizontal="right"/>
    </xf>
    <xf numFmtId="3" fontId="12" fillId="36" borderId="33" xfId="0" applyNumberFormat="1" applyFont="1" applyFill="1" applyBorder="1" applyAlignment="1">
      <alignment horizontal="right"/>
    </xf>
    <xf numFmtId="0" fontId="6" fillId="36" borderId="33" xfId="0" applyFont="1" applyFill="1" applyBorder="1" applyAlignment="1">
      <alignment horizontal="right"/>
    </xf>
    <xf numFmtId="3" fontId="7" fillId="36" borderId="33" xfId="0" applyNumberFormat="1" applyFont="1" applyFill="1" applyBorder="1" applyAlignment="1">
      <alignment horizontal="right"/>
    </xf>
    <xf numFmtId="3" fontId="7" fillId="36" borderId="32" xfId="0" applyNumberFormat="1" applyFont="1" applyFill="1" applyBorder="1" applyAlignment="1">
      <alignment horizontal="right"/>
    </xf>
    <xf numFmtId="0" fontId="8" fillId="36" borderId="0" xfId="0" applyFont="1" applyFill="1" applyBorder="1" applyAlignment="1">
      <alignment horizontal="center"/>
    </xf>
    <xf numFmtId="3" fontId="8" fillId="36" borderId="0" xfId="0" applyNumberFormat="1" applyFont="1" applyFill="1" applyBorder="1" applyAlignment="1">
      <alignment horizontal="center"/>
    </xf>
    <xf numFmtId="0" fontId="12" fillId="36" borderId="0" xfId="0" applyFont="1" applyFill="1" applyBorder="1" applyAlignment="1">
      <alignment horizontal="right"/>
    </xf>
    <xf numFmtId="0" fontId="10" fillId="36" borderId="0" xfId="0" applyFont="1" applyFill="1" applyBorder="1" applyAlignment="1">
      <alignment horizontal="right"/>
    </xf>
    <xf numFmtId="0" fontId="10" fillId="36" borderId="0" xfId="0" applyFont="1" applyFill="1" applyBorder="1" applyAlignment="1">
      <alignment horizontal="center"/>
    </xf>
    <xf numFmtId="0" fontId="10" fillId="36" borderId="5" xfId="0" applyFont="1" applyFill="1" applyBorder="1" applyAlignment="1">
      <alignment horizontal="right"/>
    </xf>
    <xf numFmtId="0" fontId="10" fillId="36" borderId="5" xfId="0" applyFont="1" applyFill="1" applyBorder="1" applyAlignment="1">
      <alignment horizontal="center"/>
    </xf>
    <xf numFmtId="0" fontId="12" fillId="36" borderId="5" xfId="0" applyFont="1" applyFill="1" applyBorder="1" applyAlignment="1">
      <alignment horizontal="right"/>
    </xf>
    <xf numFmtId="3" fontId="8" fillId="36" borderId="2" xfId="0" applyNumberFormat="1" applyFont="1" applyFill="1" applyBorder="1" applyAlignment="1">
      <alignment horizontal="right"/>
    </xf>
    <xf numFmtId="3" fontId="10" fillId="36" borderId="4" xfId="0" applyNumberFormat="1" applyFont="1" applyFill="1" applyBorder="1"/>
    <xf numFmtId="0" fontId="48" fillId="37" borderId="0" xfId="0" applyFont="1" applyFill="1" applyBorder="1" applyAlignment="1">
      <alignment horizontal="left"/>
    </xf>
    <xf numFmtId="3" fontId="6" fillId="41" borderId="2" xfId="0" applyNumberFormat="1" applyFont="1" applyFill="1" applyBorder="1" applyAlignment="1">
      <alignment horizontal="right"/>
    </xf>
    <xf numFmtId="0" fontId="6" fillId="41" borderId="16" xfId="0" applyFont="1" applyFill="1" applyBorder="1" applyAlignment="1">
      <alignment horizontal="right"/>
    </xf>
    <xf numFmtId="10" fontId="6" fillId="41" borderId="3" xfId="0" applyNumberFormat="1" applyFont="1" applyFill="1" applyBorder="1" applyAlignment="1">
      <alignment horizontal="right"/>
    </xf>
    <xf numFmtId="3" fontId="6" fillId="36" borderId="5" xfId="0" applyNumberFormat="1" applyFont="1" applyFill="1" applyBorder="1"/>
    <xf numFmtId="3" fontId="6" fillId="0" borderId="0" xfId="0" applyNumberFormat="1" applyFont="1" applyBorder="1" applyAlignment="1">
      <alignment horizontal="right"/>
    </xf>
    <xf numFmtId="165" fontId="6" fillId="0" borderId="0" xfId="1" applyNumberFormat="1" applyFont="1" applyBorder="1"/>
    <xf numFmtId="3" fontId="6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7" fillId="0" borderId="30" xfId="0" applyFont="1" applyFill="1" applyBorder="1"/>
    <xf numFmtId="0" fontId="6" fillId="0" borderId="30" xfId="0" applyFont="1" applyBorder="1"/>
    <xf numFmtId="3" fontId="6" fillId="0" borderId="30" xfId="0" applyNumberFormat="1" applyFont="1" applyBorder="1" applyAlignment="1">
      <alignment horizontal="right"/>
    </xf>
    <xf numFmtId="165" fontId="6" fillId="0" borderId="30" xfId="1" applyNumberFormat="1" applyFont="1" applyBorder="1"/>
    <xf numFmtId="0" fontId="6" fillId="0" borderId="0" xfId="0" applyFont="1" applyBorder="1"/>
    <xf numFmtId="0" fontId="6" fillId="0" borderId="16" xfId="0" applyFont="1" applyBorder="1"/>
    <xf numFmtId="0" fontId="6" fillId="0" borderId="16" xfId="0" applyFont="1" applyBorder="1" applyAlignment="1">
      <alignment horizontal="right"/>
    </xf>
    <xf numFmtId="3" fontId="6" fillId="0" borderId="16" xfId="0" applyNumberFormat="1" applyFont="1" applyBorder="1"/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0" fillId="37" borderId="0" xfId="0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43" fillId="4" borderId="0" xfId="0" applyNumberFormat="1" applyFont="1" applyFill="1" applyBorder="1" applyAlignment="1">
      <alignment horizontal="right"/>
    </xf>
    <xf numFmtId="3" fontId="8" fillId="4" borderId="0" xfId="0" applyNumberFormat="1" applyFont="1" applyFill="1" applyBorder="1" applyAlignment="1">
      <alignment horizontal="right"/>
    </xf>
    <xf numFmtId="1" fontId="6" fillId="4" borderId="0" xfId="0" applyNumberFormat="1" applyFont="1" applyFill="1" applyBorder="1" applyAlignment="1">
      <alignment horizontal="right"/>
    </xf>
    <xf numFmtId="10" fontId="6" fillId="4" borderId="0" xfId="1" applyNumberFormat="1" applyFont="1" applyFill="1" applyBorder="1" applyAlignment="1">
      <alignment horizontal="right"/>
    </xf>
    <xf numFmtId="165" fontId="6" fillId="4" borderId="0" xfId="1" applyNumberFormat="1" applyFont="1" applyFill="1" applyBorder="1" applyAlignment="1">
      <alignment horizontal="right"/>
    </xf>
    <xf numFmtId="165" fontId="6" fillId="4" borderId="0" xfId="1" applyNumberFormat="1" applyFont="1" applyFill="1" applyBorder="1"/>
    <xf numFmtId="3" fontId="6" fillId="4" borderId="14" xfId="0" applyNumberFormat="1" applyFont="1" applyFill="1" applyBorder="1"/>
    <xf numFmtId="0" fontId="6" fillId="42" borderId="11" xfId="0" applyFont="1" applyFill="1" applyBorder="1"/>
    <xf numFmtId="3" fontId="6" fillId="42" borderId="0" xfId="0" applyNumberFormat="1" applyFont="1" applyFill="1" applyBorder="1" applyAlignment="1">
      <alignment horizontal="right"/>
    </xf>
    <xf numFmtId="10" fontId="6" fillId="42" borderId="0" xfId="0" applyNumberFormat="1" applyFont="1" applyFill="1" applyBorder="1" applyAlignment="1">
      <alignment horizontal="right"/>
    </xf>
    <xf numFmtId="3" fontId="6" fillId="0" borderId="16" xfId="0" applyNumberFormat="1" applyFont="1" applyFill="1" applyBorder="1"/>
    <xf numFmtId="0" fontId="7" fillId="4" borderId="30" xfId="0" applyFont="1" applyFill="1" applyBorder="1"/>
    <xf numFmtId="0" fontId="6" fillId="4" borderId="30" xfId="0" applyFont="1" applyFill="1" applyBorder="1"/>
    <xf numFmtId="3" fontId="6" fillId="36" borderId="30" xfId="0" applyNumberFormat="1" applyFont="1" applyFill="1" applyBorder="1" applyAlignment="1">
      <alignment horizontal="right"/>
    </xf>
    <xf numFmtId="0" fontId="0" fillId="37" borderId="38" xfId="0" applyFill="1" applyBorder="1"/>
    <xf numFmtId="0" fontId="26" fillId="37" borderId="3" xfId="0" applyFont="1" applyFill="1" applyBorder="1"/>
    <xf numFmtId="0" fontId="23" fillId="36" borderId="3" xfId="0" applyFont="1" applyFill="1" applyBorder="1" applyAlignment="1">
      <alignment horizontal="right"/>
    </xf>
    <xf numFmtId="0" fontId="6" fillId="36" borderId="3" xfId="0" applyFont="1" applyFill="1" applyBorder="1" applyAlignment="1">
      <alignment horizontal="right"/>
    </xf>
    <xf numFmtId="0" fontId="6" fillId="36" borderId="6" xfId="0" applyFont="1" applyFill="1" applyBorder="1"/>
    <xf numFmtId="3" fontId="6" fillId="4" borderId="3" xfId="0" applyNumberFormat="1" applyFont="1" applyFill="1" applyBorder="1" applyAlignment="1">
      <alignment horizontal="right"/>
    </xf>
    <xf numFmtId="0" fontId="0" fillId="37" borderId="3" xfId="0" applyFill="1" applyBorder="1"/>
    <xf numFmtId="0" fontId="25" fillId="36" borderId="3" xfId="0" applyFont="1" applyFill="1" applyBorder="1"/>
    <xf numFmtId="0" fontId="7" fillId="36" borderId="3" xfId="0" applyFont="1" applyFill="1" applyBorder="1" applyAlignment="1">
      <alignment horizontal="right"/>
    </xf>
    <xf numFmtId="3" fontId="7" fillId="36" borderId="6" xfId="0" applyNumberFormat="1" applyFont="1" applyFill="1" applyBorder="1" applyAlignment="1">
      <alignment horizontal="right"/>
    </xf>
    <xf numFmtId="3" fontId="7" fillId="36" borderId="3" xfId="0" applyNumberFormat="1" applyFont="1" applyFill="1" applyBorder="1" applyAlignment="1">
      <alignment horizontal="right"/>
    </xf>
    <xf numFmtId="3" fontId="6" fillId="36" borderId="3" xfId="0" applyNumberFormat="1" applyFont="1" applyFill="1" applyBorder="1" applyAlignment="1">
      <alignment horizontal="right"/>
    </xf>
    <xf numFmtId="3" fontId="6" fillId="36" borderId="6" xfId="0" applyNumberFormat="1" applyFont="1" applyFill="1" applyBorder="1" applyAlignment="1">
      <alignment horizontal="right"/>
    </xf>
    <xf numFmtId="9" fontId="6" fillId="0" borderId="13" xfId="1" applyFont="1" applyFill="1" applyBorder="1"/>
    <xf numFmtId="3" fontId="13" fillId="36" borderId="16" xfId="0" applyNumberFormat="1" applyFont="1" applyFill="1" applyBorder="1"/>
    <xf numFmtId="9" fontId="13" fillId="36" borderId="16" xfId="1" applyFont="1" applyFill="1" applyBorder="1"/>
    <xf numFmtId="0" fontId="5" fillId="0" borderId="0" xfId="0" applyFont="1"/>
    <xf numFmtId="0" fontId="46" fillId="38" borderId="11" xfId="0" applyFont="1" applyFill="1" applyBorder="1" applyAlignment="1">
      <alignment horizontal="center" vertical="center"/>
    </xf>
    <xf numFmtId="0" fontId="46" fillId="38" borderId="0" xfId="0" applyFont="1" applyFill="1" applyBorder="1" applyAlignment="1">
      <alignment horizontal="center" vertical="center"/>
    </xf>
    <xf numFmtId="0" fontId="46" fillId="38" borderId="13" xfId="0" applyFont="1" applyFill="1" applyBorder="1" applyAlignment="1">
      <alignment horizontal="center" vertical="center"/>
    </xf>
    <xf numFmtId="0" fontId="46" fillId="37" borderId="10" xfId="0" applyFont="1" applyFill="1" applyBorder="1" applyAlignment="1">
      <alignment horizontal="center" vertical="center"/>
    </xf>
    <xf numFmtId="0" fontId="46" fillId="37" borderId="0" xfId="0" applyFont="1" applyFill="1" applyBorder="1" applyAlignment="1">
      <alignment horizontal="center" vertical="center"/>
    </xf>
    <xf numFmtId="0" fontId="44" fillId="37" borderId="9" xfId="0" applyFont="1" applyFill="1" applyBorder="1" applyAlignment="1">
      <alignment horizontal="center" vertical="center"/>
    </xf>
    <xf numFmtId="0" fontId="44" fillId="37" borderId="10" xfId="0" applyFont="1" applyFill="1" applyBorder="1" applyAlignment="1">
      <alignment horizontal="center" vertical="center"/>
    </xf>
    <xf numFmtId="0" fontId="44" fillId="37" borderId="12" xfId="0" applyFont="1" applyFill="1" applyBorder="1" applyAlignment="1">
      <alignment horizontal="center" vertical="center"/>
    </xf>
    <xf numFmtId="0" fontId="44" fillId="37" borderId="11" xfId="0" applyFont="1" applyFill="1" applyBorder="1" applyAlignment="1">
      <alignment horizontal="center" vertical="center"/>
    </xf>
    <xf numFmtId="0" fontId="44" fillId="37" borderId="0" xfId="0" applyFont="1" applyFill="1" applyBorder="1" applyAlignment="1">
      <alignment horizontal="center" vertical="center"/>
    </xf>
    <xf numFmtId="0" fontId="44" fillId="37" borderId="13" xfId="0" applyFont="1" applyFill="1" applyBorder="1" applyAlignment="1">
      <alignment horizontal="center" vertical="center"/>
    </xf>
  </cellXfs>
  <cellStyles count="64">
    <cellStyle name="20 % - Dekorfärg1" xfId="22" builtinId="30" customBuiltin="1"/>
    <cellStyle name="20 % - Dekorfärg1 2" xfId="47"/>
    <cellStyle name="20 % - Dekorfärg2" xfId="26" builtinId="34" customBuiltin="1"/>
    <cellStyle name="20 % - Dekorfärg2 2" xfId="48"/>
    <cellStyle name="20 % - Dekorfärg3" xfId="30" builtinId="38" customBuiltin="1"/>
    <cellStyle name="20 % - Dekorfärg3 2" xfId="49"/>
    <cellStyle name="20 % - Dekorfärg4" xfId="34" builtinId="42" customBuiltin="1"/>
    <cellStyle name="20 % - Dekorfärg4 2" xfId="50"/>
    <cellStyle name="20 % - Dekorfärg5" xfId="38" builtinId="46" customBuiltin="1"/>
    <cellStyle name="20 % - Dekorfärg5 2" xfId="51"/>
    <cellStyle name="20 % - Dekorfärg6" xfId="42" builtinId="50" customBuiltin="1"/>
    <cellStyle name="20 % - Dekorfärg6 2" xfId="52"/>
    <cellStyle name="40 % - Dekorfärg1" xfId="23" builtinId="31" customBuiltin="1"/>
    <cellStyle name="40 % - Dekorfärg1 2" xfId="53"/>
    <cellStyle name="40 % - Dekorfärg2" xfId="27" builtinId="35" customBuiltin="1"/>
    <cellStyle name="40 % - Dekorfärg2 2" xfId="54"/>
    <cellStyle name="40 % - Dekorfärg3" xfId="31" builtinId="39" customBuiltin="1"/>
    <cellStyle name="40 % - Dekorfärg3 2" xfId="55"/>
    <cellStyle name="40 % - Dekorfärg4" xfId="35" builtinId="43" customBuiltin="1"/>
    <cellStyle name="40 % - Dekorfärg4 2" xfId="56"/>
    <cellStyle name="40 % - Dekorfärg5" xfId="39" builtinId="47" customBuiltin="1"/>
    <cellStyle name="40 % - Dekorfärg5 2" xfId="57"/>
    <cellStyle name="40 % - Dekorfärg6" xfId="43" builtinId="51" customBuiltin="1"/>
    <cellStyle name="40 % - Dekorfärg6 2" xfId="58"/>
    <cellStyle name="60 % - Dekorfärg1" xfId="24" builtinId="32" customBuiltin="1"/>
    <cellStyle name="60 % - Dekorfärg2" xfId="28" builtinId="36" customBuiltin="1"/>
    <cellStyle name="60 % - Dekorfärg3" xfId="32" builtinId="40" customBuiltin="1"/>
    <cellStyle name="60 % - Dekorfärg4" xfId="36" builtinId="44" customBuiltin="1"/>
    <cellStyle name="60 % - Dekorfärg5" xfId="40" builtinId="48" customBuiltin="1"/>
    <cellStyle name="60 % - Dekorfärg6" xfId="44" builtinId="52" customBuiltin="1"/>
    <cellStyle name="Anteckning 2" xfId="45"/>
    <cellStyle name="Anteckning 2 2" xfId="59"/>
    <cellStyle name="Beräkning" xfId="15" builtinId="22" customBuiltin="1"/>
    <cellStyle name="Bra" xfId="10" builtinId="26" customBuiltin="1"/>
    <cellStyle name="Dekorfärg1" xfId="21" builtinId="29" customBuiltin="1"/>
    <cellStyle name="Dekorfärg2" xfId="25" builtinId="33" customBuiltin="1"/>
    <cellStyle name="Dekorfärg3" xfId="29" builtinId="37" customBuiltin="1"/>
    <cellStyle name="Dekorfärg4" xfId="33" builtinId="41" customBuiltin="1"/>
    <cellStyle name="Dekorfärg5" xfId="37" builtinId="45" customBuiltin="1"/>
    <cellStyle name="Dekorfärg6" xfId="41" builtinId="49" customBuiltin="1"/>
    <cellStyle name="Dålig" xfId="11" builtinId="27" customBuiltin="1"/>
    <cellStyle name="Förklarande text" xfId="19" builtinId="53" customBuiltin="1"/>
    <cellStyle name="Indata" xfId="13" builtinId="20" customBuiltin="1"/>
    <cellStyle name="Kontrollcell" xfId="17" builtinId="23" customBuiltin="1"/>
    <cellStyle name="Länkad cell" xfId="16" builtinId="24" customBuiltin="1"/>
    <cellStyle name="Neutral" xfId="12" builtinId="28" customBuiltin="1"/>
    <cellStyle name="Normal" xfId="0" builtinId="0" customBuiltin="1"/>
    <cellStyle name="Normal 2" xfId="3"/>
    <cellStyle name="Normal 3" xfId="2"/>
    <cellStyle name="Normal 4" xfId="61"/>
    <cellStyle name="Procent" xfId="1" builtinId="5"/>
    <cellStyle name="Procent 2" xfId="4"/>
    <cellStyle name="Procent 3" xfId="63"/>
    <cellStyle name="Rubrik" xfId="5" builtinId="15" customBuiltin="1"/>
    <cellStyle name="Rubrik 1" xfId="6" builtinId="16" customBuiltin="1"/>
    <cellStyle name="Rubrik 2" xfId="7" builtinId="17" customBuiltin="1"/>
    <cellStyle name="Rubrik 3" xfId="8" builtinId="18" customBuiltin="1"/>
    <cellStyle name="Rubrik 4" xfId="9" builtinId="19" customBuiltin="1"/>
    <cellStyle name="Summa" xfId="20" builtinId="25" customBuiltin="1"/>
    <cellStyle name="Tusental 2" xfId="46"/>
    <cellStyle name="Tusental 3" xfId="60"/>
    <cellStyle name="Tusental 4" xfId="62"/>
    <cellStyle name="Utdata" xfId="14" builtinId="21" customBuiltin="1"/>
    <cellStyle name="Varningstext" xfId="18" builtinId="11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Z63"/>
  <sheetViews>
    <sheetView showGridLines="0" topLeftCell="CQ1" zoomScale="90" zoomScaleNormal="90" zoomScaleSheetLayoutView="90" zoomScalePageLayoutView="90" workbookViewId="0">
      <selection activeCell="BI36" sqref="BI36"/>
    </sheetView>
  </sheetViews>
  <sheetFormatPr defaultColWidth="9.140625" defaultRowHeight="15.75" x14ac:dyDescent="0.25"/>
  <cols>
    <col min="1" max="1" width="15.140625" style="2" bestFit="1" customWidth="1"/>
    <col min="2" max="2" width="22.85546875" style="2" customWidth="1"/>
    <col min="3" max="3" width="12.140625" style="2" customWidth="1"/>
    <col min="4" max="4" width="15.28515625" style="2" customWidth="1"/>
    <col min="5" max="5" width="21.85546875" style="2" customWidth="1"/>
    <col min="6" max="6" width="3.28515625" style="2" customWidth="1"/>
    <col min="7" max="8" width="6.28515625" style="2" customWidth="1"/>
    <col min="9" max="9" width="14.5703125" style="2" customWidth="1"/>
    <col min="10" max="10" width="11.28515625" style="3" hidden="1" customWidth="1"/>
    <col min="11" max="11" width="15.28515625" style="3" customWidth="1"/>
    <col min="12" max="12" width="15.7109375" style="3" bestFit="1" customWidth="1"/>
    <col min="13" max="13" width="8.7109375" style="3" customWidth="1"/>
    <col min="14" max="14" width="5.28515625" style="3" customWidth="1"/>
    <col min="15" max="15" width="9.140625" style="3" hidden="1" customWidth="1"/>
    <col min="16" max="16" width="10.5703125" style="3" customWidth="1"/>
    <col min="17" max="17" width="8" style="3" customWidth="1"/>
    <col min="18" max="19" width="9.42578125" style="3" customWidth="1"/>
    <col min="20" max="20" width="10.85546875" style="3" customWidth="1"/>
    <col min="21" max="21" width="6" style="3" customWidth="1"/>
    <col min="22" max="22" width="9.28515625" style="3" customWidth="1"/>
    <col min="23" max="23" width="9.28515625" style="3" hidden="1" customWidth="1"/>
    <col min="24" max="24" width="11.28515625" style="3" hidden="1" customWidth="1"/>
    <col min="25" max="27" width="11.140625" style="96" customWidth="1"/>
    <col min="28" max="29" width="11.28515625" style="96" customWidth="1"/>
    <col min="30" max="30" width="7.42578125" style="96" customWidth="1"/>
    <col min="31" max="31" width="6.85546875" style="96" customWidth="1"/>
    <col min="32" max="33" width="8.140625" style="96" customWidth="1"/>
    <col min="34" max="34" width="18.7109375" style="96" customWidth="1"/>
    <col min="35" max="35" width="8.5703125" style="96" bestFit="1" customWidth="1"/>
    <col min="36" max="36" width="5.42578125" style="96" bestFit="1" customWidth="1"/>
    <col min="37" max="37" width="7.140625" style="96" bestFit="1" customWidth="1"/>
    <col min="38" max="38" width="10" style="96" customWidth="1"/>
    <col min="39" max="39" width="11.42578125" style="96" customWidth="1"/>
    <col min="40" max="40" width="11" style="96" bestFit="1" customWidth="1"/>
    <col min="41" max="41" width="9.5703125" style="96" bestFit="1" customWidth="1"/>
    <col min="42" max="42" width="7.85546875" style="96" bestFit="1" customWidth="1"/>
    <col min="43" max="43" width="7.28515625" style="96" bestFit="1" customWidth="1"/>
    <col min="44" max="44" width="8.28515625" style="96" bestFit="1" customWidth="1"/>
    <col min="45" max="45" width="8.42578125" style="96" customWidth="1"/>
    <col min="46" max="50" width="9.85546875" style="96" customWidth="1"/>
    <col min="51" max="51" width="15.7109375" style="96" bestFit="1" customWidth="1"/>
    <col min="52" max="52" width="9.85546875" style="96" customWidth="1"/>
    <col min="53" max="53" width="8.140625" style="96" bestFit="1" customWidth="1"/>
    <col min="54" max="56" width="9.85546875" style="96" customWidth="1"/>
    <col min="57" max="57" width="8.5703125" style="96" customWidth="1"/>
    <col min="58" max="59" width="6.28515625" style="96" bestFit="1" customWidth="1"/>
    <col min="60" max="60" width="8.42578125" style="96" bestFit="1" customWidth="1"/>
    <col min="61" max="61" width="11.42578125" style="96" customWidth="1"/>
    <col min="62" max="62" width="9.85546875" style="96" customWidth="1"/>
    <col min="63" max="63" width="5.140625" style="2" hidden="1" customWidth="1"/>
    <col min="64" max="67" width="11.5703125" style="2" hidden="1" customWidth="1"/>
    <col min="68" max="72" width="11.5703125" style="2" customWidth="1"/>
    <col min="73" max="73" width="15.7109375" style="2" bestFit="1" customWidth="1"/>
    <col min="74" max="74" width="9.28515625" style="2" customWidth="1"/>
    <col min="75" max="75" width="9.140625" style="2" customWidth="1"/>
    <col min="76" max="76" width="9.5703125" style="2" customWidth="1"/>
    <col min="77" max="77" width="0.140625" style="2" customWidth="1"/>
    <col min="78" max="78" width="10.140625" style="2" bestFit="1" customWidth="1"/>
    <col min="79" max="79" width="9.140625" style="2" customWidth="1"/>
    <col min="80" max="80" width="10" style="2" bestFit="1" customWidth="1"/>
    <col min="81" max="81" width="9.7109375" style="2" customWidth="1"/>
    <col min="82" max="84" width="9.140625" style="2" hidden="1" customWidth="1"/>
    <col min="85" max="85" width="2.85546875" style="2" customWidth="1"/>
    <col min="86" max="86" width="9.7109375" style="2" customWidth="1"/>
    <col min="87" max="87" width="8.5703125" style="2" customWidth="1"/>
    <col min="88" max="88" width="8.7109375" style="2" customWidth="1"/>
    <col min="89" max="89" width="7.5703125" style="2" customWidth="1"/>
    <col min="90" max="92" width="9.28515625" style="2" customWidth="1"/>
    <col min="93" max="93" width="11.5703125" style="2" customWidth="1"/>
    <col min="94" max="96" width="2" style="2" customWidth="1"/>
    <col min="97" max="97" width="12.5703125" style="2" customWidth="1"/>
    <col min="98" max="98" width="12.85546875" style="2" customWidth="1"/>
    <col min="99" max="99" width="7.140625" style="2" customWidth="1"/>
    <col min="100" max="100" width="8.5703125" style="2" customWidth="1"/>
    <col min="101" max="101" width="11" style="2" customWidth="1"/>
    <col min="102" max="102" width="2.140625" style="2" customWidth="1"/>
    <col min="103" max="103" width="10.140625" style="2" customWidth="1"/>
    <col min="104" max="104" width="8.85546875" style="2" customWidth="1"/>
    <col min="105" max="105" width="1.28515625" style="2" customWidth="1"/>
    <col min="106" max="106" width="2.28515625" style="14" customWidth="1"/>
    <col min="107" max="107" width="7.5703125" style="14" customWidth="1"/>
    <col min="108" max="108" width="2.28515625" style="14" customWidth="1"/>
    <col min="109" max="110" width="10.5703125" style="4" customWidth="1"/>
    <col min="111" max="111" width="15.42578125" style="69" customWidth="1"/>
    <col min="112" max="112" width="12.140625" style="66" customWidth="1"/>
    <col min="113" max="113" width="15.7109375" style="66" bestFit="1" customWidth="1"/>
    <col min="114" max="114" width="12.140625" style="66" customWidth="1"/>
    <col min="115" max="115" width="10.5703125" style="14" customWidth="1"/>
    <col min="116" max="116" width="11.5703125" style="4" customWidth="1"/>
    <col min="117" max="117" width="6.28515625" style="14" bestFit="1" customWidth="1"/>
    <col min="118" max="118" width="2.42578125" style="14" customWidth="1"/>
    <col min="119" max="119" width="8.5703125" style="14" customWidth="1"/>
    <col min="120" max="120" width="2.28515625" style="14" customWidth="1"/>
    <col min="121" max="121" width="8.140625" style="14" customWidth="1"/>
    <col min="122" max="122" width="5.7109375" style="14" bestFit="1" customWidth="1"/>
    <col min="123" max="123" width="5.42578125" style="14" bestFit="1" customWidth="1"/>
    <col min="124" max="124" width="1.5703125" style="14" customWidth="1"/>
    <col min="125" max="125" width="9.5703125" style="24" hidden="1" customWidth="1"/>
    <col min="126" max="126" width="2.140625" style="14" hidden="1" customWidth="1"/>
    <col min="127" max="127" width="9.42578125" style="3" hidden="1" customWidth="1"/>
    <col min="128" max="128" width="1.5703125" style="2" hidden="1" customWidth="1"/>
    <col min="129" max="129" width="10.7109375" style="2" customWidth="1"/>
    <col min="130" max="130" width="12.140625" style="2" hidden="1" customWidth="1"/>
    <col min="131" max="131" width="6" style="2" hidden="1" customWidth="1"/>
    <col min="132" max="132" width="8.5703125" style="2" hidden="1" customWidth="1"/>
    <col min="133" max="133" width="2.85546875" style="2" hidden="1" customWidth="1"/>
    <col min="134" max="134" width="6.5703125" style="2" hidden="1" customWidth="1"/>
    <col min="135" max="135" width="2.28515625" style="2" hidden="1" customWidth="1"/>
    <col min="136" max="136" width="12.28515625" style="2" hidden="1" customWidth="1"/>
    <col min="137" max="137" width="10.28515625" style="3" hidden="1" customWidth="1"/>
    <col min="138" max="138" width="2.7109375" style="3" hidden="1" customWidth="1"/>
    <col min="139" max="139" width="0" style="3" hidden="1" customWidth="1"/>
    <col min="140" max="140" width="7" style="3" hidden="1" customWidth="1"/>
    <col min="141" max="141" width="3.28515625" style="3" hidden="1" customWidth="1"/>
    <col min="142" max="142" width="13.7109375" style="3" hidden="1" customWidth="1"/>
    <col min="143" max="145" width="0" style="2" hidden="1" customWidth="1"/>
    <col min="146" max="146" width="12.42578125" style="2" bestFit="1" customWidth="1"/>
    <col min="147" max="148" width="12.140625" style="2" bestFit="1" customWidth="1"/>
    <col min="149" max="149" width="9.140625" style="2"/>
    <col min="150" max="150" width="2.5703125" style="2" customWidth="1"/>
    <col min="151" max="151" width="11.5703125" style="3" hidden="1" customWidth="1"/>
    <col min="152" max="152" width="12.28515625" style="3" hidden="1" customWidth="1"/>
    <col min="153" max="153" width="0" style="2" hidden="1" customWidth="1"/>
    <col min="154" max="154" width="10.7109375" style="3" bestFit="1" customWidth="1"/>
    <col min="155" max="155" width="7.5703125" style="14" customWidth="1"/>
    <col min="156" max="16384" width="9.140625" style="2"/>
  </cols>
  <sheetData>
    <row r="5" spans="1:155" x14ac:dyDescent="0.25"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95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L5" s="3"/>
      <c r="BM5" s="3"/>
      <c r="BN5" s="3"/>
      <c r="BO5" s="3"/>
      <c r="BP5" s="3"/>
      <c r="BQ5" s="3"/>
      <c r="BR5" s="3"/>
      <c r="BS5" s="3"/>
      <c r="BT5" s="3"/>
      <c r="BU5" s="3"/>
      <c r="BV5" s="13"/>
      <c r="BW5" s="3"/>
      <c r="CJ5" s="14"/>
      <c r="CK5" s="14"/>
      <c r="CL5" s="4"/>
      <c r="CM5" s="4"/>
      <c r="CN5" s="69"/>
      <c r="CO5" s="66"/>
      <c r="CP5" s="14"/>
      <c r="CQ5" s="14"/>
      <c r="CR5" s="14"/>
      <c r="CS5" s="14"/>
      <c r="CT5" s="24"/>
      <c r="CU5" s="14"/>
      <c r="CV5" s="3"/>
      <c r="DB5" s="2"/>
      <c r="DC5" s="2"/>
      <c r="DD5" s="2"/>
      <c r="DE5" s="2"/>
    </row>
    <row r="6" spans="1:155" x14ac:dyDescent="0.25"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95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L6" s="3"/>
      <c r="BM6" s="3"/>
      <c r="BN6" s="3"/>
      <c r="BO6" s="3"/>
      <c r="BP6" s="3"/>
      <c r="BQ6" s="3"/>
      <c r="BR6" s="3"/>
      <c r="BS6" s="3"/>
      <c r="BT6" s="3"/>
      <c r="BU6" s="3"/>
      <c r="BV6" s="13"/>
      <c r="BW6" s="3"/>
      <c r="CJ6" s="14"/>
      <c r="CK6" s="14"/>
      <c r="CL6" s="4"/>
      <c r="CM6" s="4"/>
      <c r="CN6" s="71"/>
      <c r="CO6" s="72"/>
      <c r="CP6" s="14"/>
      <c r="CQ6" s="14"/>
      <c r="CR6" s="14"/>
      <c r="CS6" s="14"/>
      <c r="CT6" s="24"/>
      <c r="CU6" s="14"/>
      <c r="CV6" s="3"/>
      <c r="DB6" s="2"/>
      <c r="DC6" s="2"/>
      <c r="DD6" s="2"/>
      <c r="DE6" s="2"/>
    </row>
    <row r="7" spans="1:155" ht="16.5" thickBot="1" x14ac:dyDescent="0.3">
      <c r="R7" s="94"/>
      <c r="Y7" s="92"/>
      <c r="Z7" s="92"/>
      <c r="AA7" s="95"/>
      <c r="AB7" s="95"/>
      <c r="AC7" s="92"/>
      <c r="AD7" s="92"/>
      <c r="AE7" s="92"/>
      <c r="AF7" s="92"/>
      <c r="AG7" s="92"/>
      <c r="AH7" s="92"/>
      <c r="AI7" s="92"/>
      <c r="AJ7" s="92"/>
      <c r="AK7" s="92"/>
      <c r="AL7" s="93"/>
      <c r="AM7" s="80"/>
      <c r="AN7" s="80"/>
      <c r="AO7" s="95"/>
      <c r="AP7" s="80"/>
      <c r="AQ7" s="80"/>
      <c r="AR7" s="80"/>
      <c r="AS7" s="80"/>
      <c r="AT7" s="80"/>
      <c r="AU7" s="22"/>
      <c r="AV7" s="80"/>
      <c r="AW7" s="80"/>
      <c r="AX7" s="80"/>
      <c r="AY7" s="80"/>
      <c r="AZ7" s="80"/>
      <c r="BA7" s="80"/>
      <c r="BB7" s="95"/>
      <c r="BC7" s="95"/>
      <c r="BD7" s="95"/>
      <c r="BE7" s="95"/>
      <c r="BF7" s="95"/>
      <c r="BG7" s="95"/>
      <c r="BH7" s="95"/>
      <c r="BI7" s="95"/>
      <c r="BJ7" s="80"/>
      <c r="BL7" s="3"/>
      <c r="BM7" s="3"/>
      <c r="BN7" s="3"/>
      <c r="BO7" s="3"/>
      <c r="BP7" s="3"/>
      <c r="BQ7" s="3"/>
      <c r="BR7" s="3"/>
      <c r="BS7" s="3"/>
      <c r="BT7" s="3"/>
      <c r="BU7" s="3"/>
      <c r="BV7" s="13"/>
      <c r="BW7" s="3"/>
      <c r="CJ7" s="14"/>
      <c r="CK7" s="14"/>
      <c r="CL7" s="4"/>
      <c r="CM7" s="4"/>
      <c r="CN7" s="71"/>
      <c r="CO7" s="72"/>
      <c r="CP7" s="14"/>
      <c r="CQ7" s="14"/>
      <c r="CR7" s="14"/>
      <c r="CS7" s="14"/>
      <c r="CT7" s="24"/>
      <c r="CU7" s="14"/>
      <c r="CV7" s="3"/>
      <c r="DB7" s="2"/>
      <c r="DC7" s="2"/>
      <c r="DD7" s="2"/>
    </row>
    <row r="8" spans="1:155" x14ac:dyDescent="0.25">
      <c r="L8" s="135" t="s">
        <v>145</v>
      </c>
      <c r="M8" s="135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27"/>
      <c r="Y8" s="128"/>
      <c r="Z8" s="128"/>
      <c r="AA8" s="128"/>
      <c r="AB8" s="128"/>
      <c r="AC8" s="253"/>
      <c r="AG8" s="92"/>
      <c r="AH8" s="135" t="s">
        <v>145</v>
      </c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253"/>
      <c r="AU8" s="22"/>
      <c r="AV8" s="80"/>
      <c r="AW8" s="80"/>
      <c r="AX8" s="80"/>
      <c r="AY8" s="135" t="s">
        <v>145</v>
      </c>
      <c r="AZ8" s="135"/>
      <c r="BA8" s="128"/>
      <c r="BB8" s="128"/>
      <c r="BC8" s="128"/>
      <c r="BD8" s="128"/>
      <c r="BE8" s="128"/>
      <c r="BF8" s="128"/>
      <c r="BG8" s="128"/>
      <c r="BH8" s="128"/>
      <c r="BI8" s="128"/>
      <c r="BJ8" s="253"/>
      <c r="BK8" s="25"/>
      <c r="BL8" s="25"/>
      <c r="BM8" s="25"/>
      <c r="BN8" s="25"/>
      <c r="BO8" s="25"/>
      <c r="BP8" s="3"/>
      <c r="BQ8" s="3"/>
      <c r="BR8" s="3"/>
      <c r="BS8" s="3"/>
      <c r="BT8" s="3"/>
      <c r="BU8" s="273" t="s">
        <v>158</v>
      </c>
      <c r="BV8" s="273"/>
      <c r="BW8" s="273"/>
      <c r="BX8" s="273"/>
      <c r="BY8" s="273"/>
      <c r="BZ8" s="273"/>
      <c r="CA8" s="273"/>
      <c r="CB8" s="273"/>
      <c r="CC8" s="273"/>
      <c r="CD8" s="273"/>
      <c r="CE8" s="273"/>
      <c r="CF8" s="273"/>
      <c r="CG8" s="273"/>
      <c r="CH8" s="274" t="s">
        <v>156</v>
      </c>
      <c r="CI8" s="274"/>
      <c r="CJ8" s="274"/>
      <c r="CK8" s="274"/>
      <c r="CL8" s="274"/>
      <c r="CM8" s="274"/>
      <c r="CN8" s="274"/>
      <c r="CO8" s="274"/>
      <c r="CS8" s="270" t="s">
        <v>155</v>
      </c>
      <c r="CT8" s="271"/>
      <c r="CU8" s="271"/>
      <c r="CV8" s="271"/>
      <c r="CW8" s="271"/>
      <c r="CX8" s="271"/>
      <c r="CY8" s="271"/>
      <c r="CZ8" s="271"/>
      <c r="DA8" s="271"/>
      <c r="DB8" s="271"/>
      <c r="DC8" s="271"/>
      <c r="DD8" s="272"/>
    </row>
    <row r="9" spans="1:155" x14ac:dyDescent="0.25">
      <c r="L9" s="147"/>
      <c r="M9" s="218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0"/>
      <c r="Y9" s="131"/>
      <c r="Z9" s="131"/>
      <c r="AA9" s="131"/>
      <c r="AB9" s="131"/>
      <c r="AC9" s="259"/>
      <c r="AG9" s="92"/>
      <c r="AH9" s="131"/>
      <c r="AI9" s="131"/>
      <c r="AJ9" s="131"/>
      <c r="AK9" s="131"/>
      <c r="AL9" s="129"/>
      <c r="AM9" s="131"/>
      <c r="AN9" s="132"/>
      <c r="AO9" s="129"/>
      <c r="AP9" s="132"/>
      <c r="AQ9" s="132"/>
      <c r="AR9" s="132"/>
      <c r="AS9" s="132"/>
      <c r="AT9" s="254"/>
      <c r="AU9" s="22"/>
      <c r="AV9" s="80"/>
      <c r="AW9" s="80"/>
      <c r="AX9" s="80"/>
      <c r="AY9" s="237"/>
      <c r="AZ9" s="133"/>
      <c r="BA9" s="134"/>
      <c r="BB9" s="133"/>
      <c r="BC9" s="133"/>
      <c r="BD9" s="133"/>
      <c r="BE9" s="133"/>
      <c r="BF9" s="133"/>
      <c r="BG9" s="133"/>
      <c r="BH9" s="133"/>
      <c r="BI9" s="133"/>
      <c r="BJ9" s="259"/>
      <c r="BK9" s="25"/>
      <c r="BL9" s="25"/>
      <c r="BM9" s="25"/>
      <c r="BN9" s="25"/>
      <c r="BO9" s="25"/>
      <c r="BP9" s="3"/>
      <c r="BQ9" s="3"/>
      <c r="BR9" s="3"/>
      <c r="BS9" s="3"/>
      <c r="BT9" s="3"/>
      <c r="BU9" s="274"/>
      <c r="BV9" s="274"/>
      <c r="BW9" s="274"/>
      <c r="BX9" s="274"/>
      <c r="BY9" s="274"/>
      <c r="BZ9" s="274"/>
      <c r="CA9" s="274"/>
      <c r="CB9" s="274"/>
      <c r="CC9" s="274"/>
      <c r="CD9" s="274"/>
      <c r="CE9" s="274"/>
      <c r="CF9" s="274"/>
      <c r="CG9" s="274"/>
      <c r="CH9" s="274"/>
      <c r="CI9" s="274"/>
      <c r="CJ9" s="274"/>
      <c r="CK9" s="274"/>
      <c r="CL9" s="274"/>
      <c r="CM9" s="274"/>
      <c r="CN9" s="274"/>
      <c r="CO9" s="274"/>
      <c r="CS9" s="270"/>
      <c r="CT9" s="271"/>
      <c r="CU9" s="271"/>
      <c r="CV9" s="271"/>
      <c r="CW9" s="271"/>
      <c r="CX9" s="271"/>
      <c r="CY9" s="271"/>
      <c r="CZ9" s="271"/>
      <c r="DA9" s="271"/>
      <c r="DB9" s="271"/>
      <c r="DC9" s="271"/>
      <c r="DD9" s="272"/>
    </row>
    <row r="10" spans="1:155" ht="24.75" customHeight="1" x14ac:dyDescent="0.2">
      <c r="A10" s="98"/>
      <c r="B10" s="98"/>
      <c r="C10" s="98"/>
      <c r="D10" s="98"/>
      <c r="E10" s="98"/>
      <c r="I10" s="23"/>
      <c r="J10" s="2"/>
      <c r="K10" s="2"/>
      <c r="L10" s="121"/>
      <c r="M10" s="120" t="s">
        <v>112</v>
      </c>
      <c r="N10" s="120" t="s">
        <v>112</v>
      </c>
      <c r="O10" s="123"/>
      <c r="P10" s="120" t="s">
        <v>112</v>
      </c>
      <c r="Q10" s="120" t="s">
        <v>112</v>
      </c>
      <c r="R10" s="120" t="s">
        <v>132</v>
      </c>
      <c r="S10" s="120" t="s">
        <v>132</v>
      </c>
      <c r="T10" s="120" t="s">
        <v>112</v>
      </c>
      <c r="U10" s="120" t="s">
        <v>112</v>
      </c>
      <c r="V10" s="120" t="s">
        <v>132</v>
      </c>
      <c r="W10" s="120"/>
      <c r="X10" s="120"/>
      <c r="Y10" s="120" t="s">
        <v>132</v>
      </c>
      <c r="Z10" s="120" t="s">
        <v>132</v>
      </c>
      <c r="AA10" s="120" t="s">
        <v>112</v>
      </c>
      <c r="AB10" s="120" t="s">
        <v>132</v>
      </c>
      <c r="AC10" s="255" t="s">
        <v>132</v>
      </c>
      <c r="AG10" s="92"/>
      <c r="AH10" s="120"/>
      <c r="AI10" s="120" t="s">
        <v>112</v>
      </c>
      <c r="AJ10" s="120" t="s">
        <v>112</v>
      </c>
      <c r="AK10" s="120" t="s">
        <v>112</v>
      </c>
      <c r="AL10" s="120" t="s">
        <v>132</v>
      </c>
      <c r="AM10" s="120" t="s">
        <v>112</v>
      </c>
      <c r="AN10" s="120" t="s">
        <v>112</v>
      </c>
      <c r="AO10" s="120" t="s">
        <v>132</v>
      </c>
      <c r="AP10" s="120" t="s">
        <v>112</v>
      </c>
      <c r="AQ10" s="120" t="s">
        <v>112</v>
      </c>
      <c r="AR10" s="120" t="s">
        <v>112</v>
      </c>
      <c r="AS10" s="120" t="s">
        <v>112</v>
      </c>
      <c r="AT10" s="255" t="s">
        <v>112</v>
      </c>
      <c r="AU10" s="22"/>
      <c r="AV10" s="80"/>
      <c r="AW10" s="80"/>
      <c r="AX10" s="80"/>
      <c r="AY10" s="110"/>
      <c r="AZ10" s="120"/>
      <c r="BA10" s="120" t="s">
        <v>132</v>
      </c>
      <c r="BB10" s="120" t="s">
        <v>112</v>
      </c>
      <c r="BC10" s="120" t="s">
        <v>112</v>
      </c>
      <c r="BD10" s="120" t="s">
        <v>112</v>
      </c>
      <c r="BE10" s="120" t="s">
        <v>112</v>
      </c>
      <c r="BF10" s="120" t="s">
        <v>132</v>
      </c>
      <c r="BG10" s="120"/>
      <c r="BH10" s="120"/>
      <c r="BI10" s="120"/>
      <c r="BJ10" s="260"/>
      <c r="BK10" s="25"/>
      <c r="BL10" s="25"/>
      <c r="BM10" s="25"/>
      <c r="BN10" s="25"/>
      <c r="BO10" s="25"/>
      <c r="BP10" s="3"/>
      <c r="BQ10" s="3"/>
      <c r="BR10" s="3"/>
      <c r="BS10" s="3"/>
      <c r="BT10" s="3"/>
      <c r="BU10" s="3"/>
      <c r="BV10" s="139"/>
      <c r="BW10" s="139"/>
      <c r="BX10" s="139"/>
      <c r="BY10" s="121"/>
      <c r="BZ10" s="148"/>
      <c r="CA10" s="148"/>
      <c r="CB10" s="121"/>
      <c r="CC10" s="148"/>
      <c r="CD10" s="121"/>
      <c r="CE10" s="121"/>
      <c r="CF10" s="121"/>
      <c r="CG10" s="121"/>
      <c r="CH10" s="201"/>
      <c r="CI10" s="200"/>
      <c r="CJ10" s="200"/>
      <c r="CK10" s="200"/>
      <c r="CL10" s="200"/>
      <c r="CM10" s="200"/>
      <c r="CN10" s="200"/>
      <c r="CO10" s="200"/>
      <c r="CS10" s="170"/>
      <c r="CT10" s="171" t="s">
        <v>57</v>
      </c>
      <c r="CU10" s="171"/>
      <c r="CV10" s="171"/>
      <c r="CW10" s="171"/>
      <c r="CX10" s="171"/>
      <c r="CY10" s="172" t="s">
        <v>0</v>
      </c>
      <c r="CZ10" s="173"/>
      <c r="DA10" s="174"/>
      <c r="DB10" s="175"/>
      <c r="DC10" s="175"/>
      <c r="DD10" s="176"/>
      <c r="DF10" s="3"/>
      <c r="DG10" s="3"/>
      <c r="DH10" s="3"/>
      <c r="DI10" s="3"/>
      <c r="DJ10" s="3"/>
      <c r="DK10" s="3"/>
      <c r="DL10" s="2"/>
      <c r="DM10" s="2"/>
      <c r="DN10" s="2"/>
      <c r="DO10" s="2"/>
      <c r="DP10" s="2"/>
      <c r="DQ10" s="2"/>
      <c r="DR10" s="2"/>
      <c r="DS10" s="2"/>
      <c r="DT10" s="3"/>
      <c r="DU10" s="3"/>
      <c r="DV10" s="2"/>
      <c r="DX10" s="14"/>
      <c r="EG10" s="2"/>
      <c r="EH10" s="2"/>
      <c r="EI10" s="2"/>
      <c r="EJ10" s="2"/>
      <c r="EK10" s="2"/>
      <c r="EL10" s="2"/>
      <c r="EU10" s="2"/>
      <c r="EV10" s="2"/>
      <c r="EX10" s="2"/>
      <c r="EY10" s="2"/>
    </row>
    <row r="11" spans="1:155" ht="18" x14ac:dyDescent="0.25">
      <c r="A11" s="119" t="s">
        <v>152</v>
      </c>
      <c r="B11" s="98"/>
      <c r="C11" s="98"/>
      <c r="D11" s="98"/>
      <c r="E11" s="98"/>
      <c r="I11" s="23"/>
      <c r="J11" s="22"/>
      <c r="K11" s="22"/>
      <c r="L11" s="121"/>
      <c r="M11" s="122" t="s">
        <v>24</v>
      </c>
      <c r="N11" s="122" t="s">
        <v>49</v>
      </c>
      <c r="O11" s="122" t="s">
        <v>50</v>
      </c>
      <c r="P11" s="122" t="s">
        <v>51</v>
      </c>
      <c r="Q11" s="122" t="s">
        <v>52</v>
      </c>
      <c r="R11" s="122" t="s">
        <v>53</v>
      </c>
      <c r="S11" s="122" t="s">
        <v>71</v>
      </c>
      <c r="T11" s="122" t="s">
        <v>54</v>
      </c>
      <c r="U11" s="122" t="s">
        <v>55</v>
      </c>
      <c r="V11" s="122" t="s">
        <v>56</v>
      </c>
      <c r="W11" s="122" t="s">
        <v>67</v>
      </c>
      <c r="X11" s="122" t="s">
        <v>69</v>
      </c>
      <c r="Y11" s="122" t="s">
        <v>65</v>
      </c>
      <c r="Z11" s="122" t="s">
        <v>65</v>
      </c>
      <c r="AA11" s="122" t="s">
        <v>95</v>
      </c>
      <c r="AB11" s="124" t="s">
        <v>82</v>
      </c>
      <c r="AC11" s="264" t="s">
        <v>82</v>
      </c>
      <c r="AG11" s="92"/>
      <c r="AH11" s="122"/>
      <c r="AI11" s="125" t="s">
        <v>118</v>
      </c>
      <c r="AJ11" s="122" t="s">
        <v>86</v>
      </c>
      <c r="AK11" s="122" t="s">
        <v>84</v>
      </c>
      <c r="AL11" s="122" t="s">
        <v>103</v>
      </c>
      <c r="AM11" s="122" t="s">
        <v>106</v>
      </c>
      <c r="AN11" s="122" t="s">
        <v>110</v>
      </c>
      <c r="AO11" s="122" t="s">
        <v>117</v>
      </c>
      <c r="AP11" s="122" t="s">
        <v>114</v>
      </c>
      <c r="AQ11" s="122" t="s">
        <v>127</v>
      </c>
      <c r="AR11" s="122" t="s">
        <v>129</v>
      </c>
      <c r="AS11" s="122" t="s">
        <v>121</v>
      </c>
      <c r="AT11" s="256" t="s">
        <v>123</v>
      </c>
      <c r="AU11" s="22"/>
      <c r="AV11" s="80"/>
      <c r="AW11" s="80"/>
      <c r="AX11" s="80"/>
      <c r="AY11" s="110"/>
      <c r="AZ11" s="122"/>
      <c r="BA11" s="122" t="s">
        <v>142</v>
      </c>
      <c r="BB11" s="122" t="s">
        <v>135</v>
      </c>
      <c r="BC11" s="122" t="s">
        <v>138</v>
      </c>
      <c r="BD11" s="122" t="s">
        <v>137</v>
      </c>
      <c r="BE11" s="122" t="s">
        <v>137</v>
      </c>
      <c r="BF11" s="122" t="s">
        <v>140</v>
      </c>
      <c r="BG11" s="122" t="s">
        <v>140</v>
      </c>
      <c r="BH11" s="122" t="s">
        <v>147</v>
      </c>
      <c r="BI11" s="122" t="s">
        <v>159</v>
      </c>
      <c r="BJ11" s="261" t="s">
        <v>0</v>
      </c>
      <c r="BK11" s="18"/>
      <c r="BL11" s="18"/>
      <c r="BM11" s="18"/>
      <c r="BN11" s="18"/>
      <c r="BO11" s="18"/>
      <c r="BP11" s="3"/>
      <c r="BQ11" s="3"/>
      <c r="BR11" s="3"/>
      <c r="BS11" s="3"/>
      <c r="BT11" s="3"/>
      <c r="BU11" s="3"/>
      <c r="BV11" s="121" t="s">
        <v>37</v>
      </c>
      <c r="BW11" s="122" t="s">
        <v>38</v>
      </c>
      <c r="BX11" s="122" t="s">
        <v>39</v>
      </c>
      <c r="BY11" s="121" t="s">
        <v>40</v>
      </c>
      <c r="BZ11" s="122" t="s">
        <v>41</v>
      </c>
      <c r="CA11" s="122" t="s">
        <v>47</v>
      </c>
      <c r="CB11" s="122" t="s">
        <v>88</v>
      </c>
      <c r="CC11" s="122" t="s">
        <v>90</v>
      </c>
      <c r="CD11" s="121"/>
      <c r="CE11" s="121"/>
      <c r="CF11" s="121"/>
      <c r="CG11" s="121"/>
      <c r="CH11" s="216" t="s">
        <v>37</v>
      </c>
      <c r="CI11" s="125" t="s">
        <v>38</v>
      </c>
      <c r="CJ11" s="208" t="s">
        <v>39</v>
      </c>
      <c r="CK11" s="208" t="s">
        <v>41</v>
      </c>
      <c r="CL11" s="208" t="s">
        <v>47</v>
      </c>
      <c r="CM11" s="209" t="s">
        <v>88</v>
      </c>
      <c r="CN11" s="209" t="s">
        <v>90</v>
      </c>
      <c r="CO11" s="210" t="s">
        <v>46</v>
      </c>
      <c r="CS11" s="170"/>
      <c r="CT11" s="177" t="s">
        <v>58</v>
      </c>
      <c r="CU11" s="177" t="s">
        <v>59</v>
      </c>
      <c r="CV11" s="177" t="s">
        <v>61</v>
      </c>
      <c r="CW11" s="177" t="s">
        <v>116</v>
      </c>
      <c r="CX11" s="177"/>
      <c r="CY11" s="181" t="s">
        <v>102</v>
      </c>
      <c r="CZ11" s="178"/>
      <c r="DA11" s="177"/>
      <c r="DB11" s="179"/>
      <c r="DC11" s="179" t="s">
        <v>109</v>
      </c>
      <c r="DD11" s="180"/>
      <c r="DE11" s="54"/>
      <c r="DF11" s="3"/>
      <c r="DG11" s="3"/>
      <c r="DH11" s="3"/>
      <c r="DI11" s="3"/>
      <c r="DJ11" s="3"/>
      <c r="DK11" s="3"/>
      <c r="DL11" s="2"/>
      <c r="DM11" s="2"/>
      <c r="DN11" s="2"/>
      <c r="DO11" s="2"/>
      <c r="DP11" s="2"/>
      <c r="DQ11" s="2"/>
      <c r="DR11" s="2"/>
      <c r="DS11" s="2"/>
      <c r="DT11" s="3"/>
      <c r="DU11" s="3"/>
      <c r="DV11" s="2"/>
      <c r="DX11" s="14"/>
      <c r="EG11" s="2"/>
      <c r="EH11" s="2"/>
      <c r="EI11" s="2"/>
      <c r="EJ11" s="2"/>
      <c r="EK11" s="2"/>
      <c r="EL11" s="2"/>
      <c r="EU11" s="2"/>
      <c r="EV11" s="2"/>
      <c r="EX11" s="2"/>
      <c r="EY11" s="2"/>
    </row>
    <row r="12" spans="1:155" ht="16.5" thickBot="1" x14ac:dyDescent="0.3">
      <c r="A12" s="98"/>
      <c r="B12" s="98"/>
      <c r="C12" s="98"/>
      <c r="D12" s="98"/>
      <c r="E12" s="98"/>
      <c r="I12" s="23"/>
      <c r="J12" s="22"/>
      <c r="K12" s="22"/>
      <c r="L12" s="121"/>
      <c r="M12" s="122">
        <v>2004</v>
      </c>
      <c r="N12" s="122">
        <v>1999</v>
      </c>
      <c r="O12" s="122">
        <v>1999</v>
      </c>
      <c r="P12" s="122">
        <v>2004</v>
      </c>
      <c r="Q12" s="122">
        <v>2004</v>
      </c>
      <c r="R12" s="122">
        <v>2005</v>
      </c>
      <c r="S12" s="122" t="s">
        <v>72</v>
      </c>
      <c r="T12" s="122">
        <v>2007</v>
      </c>
      <c r="U12" s="122">
        <v>2007</v>
      </c>
      <c r="V12" s="122">
        <v>2007</v>
      </c>
      <c r="W12" s="126" t="s">
        <v>68</v>
      </c>
      <c r="X12" s="126" t="s">
        <v>64</v>
      </c>
      <c r="Y12" s="122" t="s">
        <v>75</v>
      </c>
      <c r="Z12" s="122" t="s">
        <v>100</v>
      </c>
      <c r="AA12" s="122" t="s">
        <v>96</v>
      </c>
      <c r="AB12" s="124" t="s">
        <v>113</v>
      </c>
      <c r="AC12" s="264" t="s">
        <v>113</v>
      </c>
      <c r="AG12" s="92"/>
      <c r="AH12" s="122"/>
      <c r="AI12" s="125" t="s">
        <v>120</v>
      </c>
      <c r="AJ12" s="122" t="s">
        <v>87</v>
      </c>
      <c r="AK12" s="122" t="s">
        <v>85</v>
      </c>
      <c r="AL12" s="122" t="s">
        <v>104</v>
      </c>
      <c r="AM12" s="122" t="s">
        <v>107</v>
      </c>
      <c r="AN12" s="122" t="s">
        <v>111</v>
      </c>
      <c r="AO12" s="122">
        <v>2018</v>
      </c>
      <c r="AP12" s="122" t="s">
        <v>115</v>
      </c>
      <c r="AQ12" s="122" t="s">
        <v>128</v>
      </c>
      <c r="AR12" s="122" t="s">
        <v>130</v>
      </c>
      <c r="AS12" s="122" t="s">
        <v>122</v>
      </c>
      <c r="AT12" s="256" t="s">
        <v>124</v>
      </c>
      <c r="AU12" s="22"/>
      <c r="AV12" s="80"/>
      <c r="AW12" s="80"/>
      <c r="AX12" s="80"/>
      <c r="AY12" s="110"/>
      <c r="AZ12" s="122"/>
      <c r="BA12" s="122" t="s">
        <v>143</v>
      </c>
      <c r="BB12" s="122" t="s">
        <v>136</v>
      </c>
      <c r="BC12" s="122" t="s">
        <v>136</v>
      </c>
      <c r="BD12" s="122" t="s">
        <v>136</v>
      </c>
      <c r="BE12" s="122" t="s">
        <v>136</v>
      </c>
      <c r="BF12" s="122" t="s">
        <v>136</v>
      </c>
      <c r="BG12" s="122" t="s">
        <v>146</v>
      </c>
      <c r="BH12" s="122" t="s">
        <v>148</v>
      </c>
      <c r="BI12" s="122" t="s">
        <v>146</v>
      </c>
      <c r="BJ12" s="261"/>
      <c r="BK12" s="25"/>
      <c r="BL12" s="25"/>
      <c r="BM12" s="25"/>
      <c r="BN12" s="25"/>
      <c r="BO12" s="25"/>
      <c r="BP12" s="3"/>
      <c r="BQ12" s="3"/>
      <c r="BR12" s="3"/>
      <c r="BS12" s="3"/>
      <c r="BT12" s="3"/>
      <c r="BU12" s="3"/>
      <c r="BV12" s="121"/>
      <c r="BW12" s="122" t="s">
        <v>42</v>
      </c>
      <c r="BX12" s="122" t="s">
        <v>43</v>
      </c>
      <c r="BY12" s="121" t="s">
        <v>44</v>
      </c>
      <c r="BZ12" s="122" t="s">
        <v>45</v>
      </c>
      <c r="CA12" s="122" t="s">
        <v>154</v>
      </c>
      <c r="CB12" s="122" t="s">
        <v>89</v>
      </c>
      <c r="CC12" s="122" t="s">
        <v>91</v>
      </c>
      <c r="CD12" s="121"/>
      <c r="CE12" s="121"/>
      <c r="CF12" s="121"/>
      <c r="CG12" s="121"/>
      <c r="CH12" s="151"/>
      <c r="CI12" s="211" t="s">
        <v>42</v>
      </c>
      <c r="CJ12" s="212" t="s">
        <v>43</v>
      </c>
      <c r="CK12" s="212" t="s">
        <v>45</v>
      </c>
      <c r="CL12" s="212" t="s">
        <v>48</v>
      </c>
      <c r="CM12" s="212" t="s">
        <v>89</v>
      </c>
      <c r="CN12" s="212" t="s">
        <v>91</v>
      </c>
      <c r="CO12" s="210" t="s">
        <v>139</v>
      </c>
      <c r="CS12" s="170"/>
      <c r="CT12" s="177" t="s">
        <v>25</v>
      </c>
      <c r="CU12" s="177" t="s">
        <v>60</v>
      </c>
      <c r="CV12" s="177" t="s">
        <v>62</v>
      </c>
      <c r="CW12" s="177" t="s">
        <v>70</v>
      </c>
      <c r="CX12" s="177"/>
      <c r="CY12" s="181">
        <v>2019</v>
      </c>
      <c r="CZ12" s="182"/>
      <c r="DA12" s="183"/>
      <c r="DB12" s="179"/>
      <c r="DC12" s="184">
        <v>0.03</v>
      </c>
      <c r="DD12" s="185"/>
      <c r="DE12" s="52"/>
      <c r="DG12" s="71"/>
      <c r="DH12" s="72"/>
      <c r="DI12" s="72"/>
    </row>
    <row r="13" spans="1:155" x14ac:dyDescent="0.25">
      <c r="A13" s="112" t="s">
        <v>153</v>
      </c>
      <c r="B13" s="113"/>
      <c r="C13" s="114">
        <v>3016691</v>
      </c>
      <c r="D13" s="113"/>
      <c r="E13" s="115"/>
      <c r="I13" s="23"/>
      <c r="L13" s="145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 t="s">
        <v>99</v>
      </c>
      <c r="Z13" s="111"/>
      <c r="AA13" s="142" t="s">
        <v>83</v>
      </c>
      <c r="AB13" s="143"/>
      <c r="AC13" s="265"/>
      <c r="AG13" s="92"/>
      <c r="AH13" s="111"/>
      <c r="AI13" s="144" t="s">
        <v>119</v>
      </c>
      <c r="AJ13" s="145">
        <v>2010</v>
      </c>
      <c r="AK13" s="111"/>
      <c r="AL13" s="145" t="s">
        <v>105</v>
      </c>
      <c r="AM13" s="145" t="s">
        <v>108</v>
      </c>
      <c r="AN13" s="142"/>
      <c r="AO13" s="142"/>
      <c r="AP13" s="145">
        <v>2012</v>
      </c>
      <c r="AQ13" s="145">
        <v>2013</v>
      </c>
      <c r="AR13" s="145">
        <v>2013</v>
      </c>
      <c r="AS13" s="145">
        <v>2013</v>
      </c>
      <c r="AT13" s="257">
        <v>2014</v>
      </c>
      <c r="AU13" s="22"/>
      <c r="AV13" s="80"/>
      <c r="AW13" s="80"/>
      <c r="AX13" s="80"/>
      <c r="AY13" s="110"/>
      <c r="AZ13" s="145"/>
      <c r="BA13" s="145">
        <v>2017</v>
      </c>
      <c r="BB13" s="145">
        <v>2018</v>
      </c>
      <c r="BC13" s="145">
        <v>2018</v>
      </c>
      <c r="BD13" s="145">
        <v>2018</v>
      </c>
      <c r="BE13" s="145">
        <v>2018</v>
      </c>
      <c r="BF13" s="145">
        <v>2018</v>
      </c>
      <c r="BG13" s="145">
        <v>2019</v>
      </c>
      <c r="BH13" s="145">
        <v>2019</v>
      </c>
      <c r="BI13" s="145">
        <v>2019</v>
      </c>
      <c r="BJ13" s="262"/>
      <c r="BK13" s="18"/>
      <c r="BL13" s="18"/>
      <c r="BM13" s="18"/>
      <c r="BN13" s="18"/>
      <c r="BO13" s="18"/>
      <c r="BP13" s="3"/>
      <c r="BQ13" s="3"/>
      <c r="BR13" s="3"/>
      <c r="BS13" s="3"/>
      <c r="BT13" s="3"/>
      <c r="BU13" s="194"/>
      <c r="BV13" s="145"/>
      <c r="BW13" s="142"/>
      <c r="BX13" s="142"/>
      <c r="BY13" s="145"/>
      <c r="BZ13" s="142"/>
      <c r="CA13" s="142"/>
      <c r="CB13" s="142"/>
      <c r="CC13" s="142"/>
      <c r="CD13" s="145"/>
      <c r="CE13" s="145"/>
      <c r="CF13" s="145"/>
      <c r="CG13" s="145"/>
      <c r="CH13" s="217"/>
      <c r="CI13" s="213"/>
      <c r="CJ13" s="214"/>
      <c r="CK13" s="214"/>
      <c r="CL13" s="214"/>
      <c r="CM13" s="214"/>
      <c r="CN13" s="214"/>
      <c r="CO13" s="215"/>
      <c r="CS13" s="186"/>
      <c r="CT13" s="187"/>
      <c r="CU13" s="187"/>
      <c r="CV13" s="187"/>
      <c r="CW13" s="187"/>
      <c r="CX13" s="187"/>
      <c r="CY13" s="188"/>
      <c r="CZ13" s="189"/>
      <c r="DA13" s="190"/>
      <c r="DB13" s="191"/>
      <c r="DC13" s="192"/>
      <c r="DD13" s="146"/>
      <c r="DE13" s="52"/>
      <c r="DG13" s="71"/>
      <c r="DH13" s="72"/>
      <c r="DI13" s="72"/>
      <c r="DU13" s="30"/>
      <c r="DV13" s="28"/>
      <c r="DW13" s="31"/>
      <c r="DX13" s="45"/>
      <c r="DY13" s="10"/>
    </row>
    <row r="14" spans="1:155" x14ac:dyDescent="0.25">
      <c r="A14" s="116"/>
      <c r="B14" s="117"/>
      <c r="C14" s="117"/>
      <c r="D14" s="117"/>
      <c r="E14" s="118"/>
      <c r="I14" s="23"/>
      <c r="L14" s="139" t="s">
        <v>8</v>
      </c>
      <c r="M14" s="238"/>
      <c r="N14" s="238"/>
      <c r="O14" s="238">
        <v>0</v>
      </c>
      <c r="P14" s="238">
        <f>105.024303130357*1.0362*1.006*1.0089*1.0057*1.0276*1.0091*1.0182*1.0155*1.0184*1.0123</f>
        <v>122.78544797833716</v>
      </c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>
        <f>-Utvecklingsmedel!I6</f>
        <v>-4447.9651532537246</v>
      </c>
      <c r="AC14" s="258"/>
      <c r="AG14" s="92"/>
      <c r="AH14" s="139" t="s">
        <v>8</v>
      </c>
      <c r="AI14" s="238">
        <f>2280*1.0057*1.0276*1.0091*1.0182*1.0155*1.0184*1.0123</f>
        <v>2534.5580753222998</v>
      </c>
      <c r="AJ14" s="238"/>
      <c r="AK14" s="238">
        <f>1616*1.006*1.0089*1.0057*1.0276*1.0091*1.0182*1.0155*1.0184*1.0123</f>
        <v>1823.2862592324786</v>
      </c>
      <c r="AL14" s="238"/>
      <c r="AM14" s="238"/>
      <c r="AN14" s="238">
        <f>1200*1.0057*1.0276*1.0091*1.0182*1.0155*1.0184*1.0123</f>
        <v>1333.9779343801579</v>
      </c>
      <c r="AO14" s="94"/>
      <c r="AP14" s="238">
        <f>840*1.0276*1.0091*1.0182*1.0155*1.0184*1.0123</f>
        <v>928.4921488178486</v>
      </c>
      <c r="AQ14" s="238">
        <f>872*1.0276*1.0091*1.0182*1.0155*1.0184*1.0123</f>
        <v>963.863278296624</v>
      </c>
      <c r="AR14" s="238">
        <f>1999*1.0276*1.0091*1.0182*1.0155*1.0184*1.0123</f>
        <v>2209.5902446272371</v>
      </c>
      <c r="AS14" s="238"/>
      <c r="AT14" s="258">
        <f>1700*1.0091*1.0182*1.0155*1.0184*1.0123</f>
        <v>1828.6213055273763</v>
      </c>
      <c r="AU14" s="22"/>
      <c r="AV14" s="80"/>
      <c r="AW14" s="80"/>
      <c r="AX14" s="80"/>
      <c r="AY14" s="139" t="s">
        <v>8</v>
      </c>
      <c r="AZ14" s="238"/>
      <c r="BA14" s="238">
        <v>1801.6666666666667</v>
      </c>
      <c r="BB14" s="238">
        <f>2400*1.0123</f>
        <v>2429.52</v>
      </c>
      <c r="BC14" s="238">
        <f>927*1.0123</f>
        <v>938.40210000000002</v>
      </c>
      <c r="BD14" s="238">
        <f>(-Djurfrågor!I6)*1.0123</f>
        <v>-1320.7847032273653</v>
      </c>
      <c r="BE14" s="238"/>
      <c r="BF14" s="238">
        <v>1000</v>
      </c>
      <c r="BG14" s="238">
        <v>1000</v>
      </c>
      <c r="BH14" s="238">
        <v>-9727.4632780237898</v>
      </c>
      <c r="BI14" s="241">
        <v>979.2</v>
      </c>
      <c r="BJ14" s="263">
        <f t="shared" ref="BJ14:BJ35" si="0">SUM(L14:BI14)</f>
        <v>4397.7503263441458</v>
      </c>
      <c r="BK14" s="18"/>
      <c r="BL14" s="18"/>
      <c r="BM14" s="18"/>
      <c r="BN14" s="18"/>
      <c r="BO14" s="18"/>
      <c r="BP14" s="3"/>
      <c r="BQ14" s="3"/>
      <c r="BR14" s="3"/>
      <c r="BS14" s="3"/>
      <c r="BT14" s="3"/>
      <c r="BU14" s="139" t="s">
        <v>8</v>
      </c>
      <c r="BV14" s="242">
        <v>0.22807191764781909</v>
      </c>
      <c r="BW14" s="242">
        <v>1.6345688618650489E-2</v>
      </c>
      <c r="BX14" s="242">
        <v>8.9655172413793102E-2</v>
      </c>
      <c r="BY14" s="243">
        <v>4.8595550095447332E-2</v>
      </c>
      <c r="BZ14" s="242">
        <v>7.4602894551277724E-3</v>
      </c>
      <c r="CA14" s="242">
        <v>5.801471118903169E-2</v>
      </c>
      <c r="CB14" s="242">
        <v>2.47E-2</v>
      </c>
      <c r="CC14" s="242">
        <v>7.2066666666666668E-2</v>
      </c>
      <c r="CD14" s="244"/>
      <c r="CE14" s="244"/>
      <c r="CF14" s="244"/>
      <c r="CG14" s="244"/>
      <c r="CH14" s="245">
        <f t="shared" ref="CH14:CH34" si="1">SUM(BV14*$BZ$39)</f>
        <v>269953.94843126117</v>
      </c>
      <c r="CI14" s="245">
        <f t="shared" ref="CI14:CI34" si="2">SUM(BW14*$BZ$41)</f>
        <v>2860.0404291615705</v>
      </c>
      <c r="CJ14" s="245">
        <f t="shared" ref="CJ14:CJ34" si="3">SUM(BX14*$BZ$42)</f>
        <v>11996.062833086227</v>
      </c>
      <c r="CK14" s="245">
        <f t="shared" ref="CK14:CK34" si="4">SUM(BZ14*$BZ$44)</f>
        <v>691.06391644392897</v>
      </c>
      <c r="CL14" s="245">
        <f t="shared" ref="CL14:CL34" si="5">SUM(CA14*$BZ$45)</f>
        <v>15524.996537955591</v>
      </c>
      <c r="CM14" s="245">
        <f t="shared" ref="CM14:CM34" si="6">SUM(CB14*$BZ$46)</f>
        <v>4067.5880744803144</v>
      </c>
      <c r="CN14" s="245">
        <f t="shared" ref="CN14:CN34" si="7">SUM(CC14*$BZ$47)</f>
        <v>2966.9788856364507</v>
      </c>
      <c r="CO14" s="156">
        <f t="shared" ref="CO14:CO34" si="8">SUM(CH14:CN14)</f>
        <v>308060.67910802522</v>
      </c>
      <c r="CS14" s="246" t="s">
        <v>8</v>
      </c>
      <c r="CT14" s="247">
        <f t="shared" ref="CT14:CT34" si="9">SUM(BJ14)</f>
        <v>4397.7503263441458</v>
      </c>
      <c r="CU14" s="247"/>
      <c r="CV14" s="247">
        <f>$B$32</f>
        <v>37900</v>
      </c>
      <c r="CW14" s="247">
        <f t="shared" ref="CW14:CW34" si="10">CO14</f>
        <v>308060.67910802522</v>
      </c>
      <c r="CX14" s="247"/>
      <c r="CY14" s="219">
        <f>SUM(CT14:CW14)</f>
        <v>350358.42943436938</v>
      </c>
      <c r="CZ14" s="221">
        <f>CY14/$CY$35</f>
        <v>0.11624741387973318</v>
      </c>
      <c r="DA14" s="248"/>
      <c r="DB14" s="247"/>
      <c r="DC14" s="247">
        <v>10406.280810717015</v>
      </c>
      <c r="DD14" s="141"/>
      <c r="DE14" s="58"/>
      <c r="DG14" s="71"/>
      <c r="DH14" s="72"/>
      <c r="DI14" s="72"/>
      <c r="DU14" s="30" t="s">
        <v>66</v>
      </c>
      <c r="DV14" s="28"/>
      <c r="DW14" s="31"/>
      <c r="DX14" s="45"/>
      <c r="DY14" s="10"/>
      <c r="EU14" s="5"/>
    </row>
    <row r="15" spans="1:155" x14ac:dyDescent="0.25">
      <c r="A15" s="99" t="s">
        <v>80</v>
      </c>
      <c r="B15" s="98"/>
      <c r="C15" s="98">
        <v>-2788</v>
      </c>
      <c r="D15" s="98"/>
      <c r="E15" s="100"/>
      <c r="I15" s="23"/>
      <c r="L15" s="139" t="s">
        <v>2</v>
      </c>
      <c r="M15" s="238"/>
      <c r="N15" s="238"/>
      <c r="O15" s="238"/>
      <c r="P15" s="238"/>
      <c r="Q15" s="238"/>
      <c r="R15" s="238"/>
      <c r="S15" s="238"/>
      <c r="T15" s="238">
        <f>806.108818303748*1.0362*1.006*1.0089*1.0057*1.0276*1.0091*1.0182*1.0155*1.0184*1.0123</f>
        <v>942.4336027429847</v>
      </c>
      <c r="U15" s="238"/>
      <c r="V15" s="238"/>
      <c r="W15" s="238"/>
      <c r="X15" s="238"/>
      <c r="Y15" s="238"/>
      <c r="Z15" s="238"/>
      <c r="AA15" s="238"/>
      <c r="AB15" s="238">
        <f>-Utvecklingsmedel!I7</f>
        <v>-960.40179357950365</v>
      </c>
      <c r="AC15" s="258"/>
      <c r="AG15" s="92"/>
      <c r="AH15" s="139" t="s">
        <v>2</v>
      </c>
      <c r="AI15" s="238"/>
      <c r="AJ15" s="238"/>
      <c r="AK15" s="238">
        <f>-389*1.006*1.0089*1.0057*1.0276*1.0091*1.0182*1.0155*1.0184*1.0123</f>
        <v>-438.89749680781819</v>
      </c>
      <c r="AL15" s="238"/>
      <c r="AM15" s="238"/>
      <c r="AN15" s="238"/>
      <c r="AO15" s="94"/>
      <c r="AP15" s="238">
        <f>840*1.0276*1.0091*1.0182*1.0155*1.0184*1.0123</f>
        <v>928.4921488178486</v>
      </c>
      <c r="AQ15" s="240">
        <f>3110*1.0276*1.0091*1.0182*1.0155*1.0184*1.0123</f>
        <v>3437.6316462184632</v>
      </c>
      <c r="AR15" s="238">
        <f>-450*1.0276*1.0091*1.0182*1.0155*1.0184*1.0123</f>
        <v>-497.40650829527601</v>
      </c>
      <c r="AS15" s="238"/>
      <c r="AT15" s="258"/>
      <c r="AU15" s="22"/>
      <c r="AV15" s="80"/>
      <c r="AW15" s="80"/>
      <c r="AX15" s="80"/>
      <c r="AY15" s="139" t="s">
        <v>2</v>
      </c>
      <c r="AZ15" s="238"/>
      <c r="BA15" s="238">
        <v>919.16666666666674</v>
      </c>
      <c r="BB15" s="238">
        <f t="shared" ref="BB15:BB22" si="11">1600*1.0123</f>
        <v>1619.68</v>
      </c>
      <c r="BC15" s="238">
        <f>287*1.0123</f>
        <v>290.5301</v>
      </c>
      <c r="BD15" s="238">
        <f>(-Djurfrågor!I7)*1.0123</f>
        <v>-285.18298912122253</v>
      </c>
      <c r="BE15" s="238"/>
      <c r="BF15" s="238"/>
      <c r="BG15" s="238"/>
      <c r="BH15" s="238">
        <v>-2053.8434331684098</v>
      </c>
      <c r="BI15" s="94">
        <v>1445</v>
      </c>
      <c r="BJ15" s="263">
        <f t="shared" si="0"/>
        <v>5347.2019434737322</v>
      </c>
      <c r="BK15" s="18"/>
      <c r="BL15" s="18"/>
      <c r="BM15" s="18"/>
      <c r="BN15" s="18"/>
      <c r="BO15" s="18"/>
      <c r="BP15" s="3"/>
      <c r="BQ15" s="3"/>
      <c r="BR15" s="3"/>
      <c r="BS15" s="3"/>
      <c r="BT15" s="3"/>
      <c r="BU15" s="139" t="s">
        <v>2</v>
      </c>
      <c r="BV15" s="242">
        <v>3.6458713141444644E-2</v>
      </c>
      <c r="BW15" s="242">
        <v>1.9138455203796999E-2</v>
      </c>
      <c r="BX15" s="242">
        <v>2.7586206896551724E-2</v>
      </c>
      <c r="BY15" s="243">
        <v>1.9131968855911435E-2</v>
      </c>
      <c r="BZ15" s="242">
        <v>1.0309003401458235E-2</v>
      </c>
      <c r="CA15" s="242">
        <v>2.3559389201429172E-2</v>
      </c>
      <c r="CB15" s="242">
        <v>3.6900000000000002E-2</v>
      </c>
      <c r="CC15" s="242">
        <v>3.676666666666667E-2</v>
      </c>
      <c r="CD15" s="244"/>
      <c r="CE15" s="244"/>
      <c r="CF15" s="244"/>
      <c r="CG15" s="244"/>
      <c r="CH15" s="245">
        <f t="shared" si="1"/>
        <v>43153.81599261002</v>
      </c>
      <c r="CI15" s="245">
        <f t="shared" si="2"/>
        <v>3348.6968283552296</v>
      </c>
      <c r="CJ15" s="245">
        <f t="shared" si="3"/>
        <v>3691.0962563342237</v>
      </c>
      <c r="CK15" s="245">
        <f t="shared" si="4"/>
        <v>954.94689691279518</v>
      </c>
      <c r="CL15" s="245">
        <f t="shared" si="5"/>
        <v>6304.5980630114209</v>
      </c>
      <c r="CM15" s="245">
        <f t="shared" si="6"/>
        <v>6076.6801598511584</v>
      </c>
      <c r="CN15" s="245">
        <f t="shared" si="7"/>
        <v>1513.6807173251646</v>
      </c>
      <c r="CO15" s="156">
        <f t="shared" si="8"/>
        <v>65043.51491440001</v>
      </c>
      <c r="CS15" s="246" t="s">
        <v>2</v>
      </c>
      <c r="CT15" s="247">
        <f t="shared" si="9"/>
        <v>5347.2019434737322</v>
      </c>
      <c r="CU15" s="247"/>
      <c r="CV15" s="247">
        <f t="shared" ref="CV15:CV34" si="12">$B$32</f>
        <v>37900</v>
      </c>
      <c r="CW15" s="247">
        <f t="shared" si="10"/>
        <v>65043.51491440001</v>
      </c>
      <c r="CX15" s="247"/>
      <c r="CY15" s="219">
        <f>SUM(CT15:CW15)</f>
        <v>108290.71685787375</v>
      </c>
      <c r="CZ15" s="221">
        <f t="shared" ref="CZ15:CZ35" si="13">CY15/$CY$35</f>
        <v>3.5930392205015815E-2</v>
      </c>
      <c r="DA15" s="248"/>
      <c r="DB15" s="247"/>
      <c r="DC15" s="247">
        <v>3225.5364663830701</v>
      </c>
      <c r="DD15" s="141"/>
      <c r="DE15" s="58"/>
      <c r="DG15" s="71"/>
      <c r="DH15" s="72"/>
      <c r="DI15" s="72"/>
      <c r="DU15" s="30"/>
      <c r="DV15" s="28"/>
      <c r="DW15" s="31"/>
      <c r="DX15" s="45"/>
      <c r="DY15" s="10"/>
      <c r="EU15" s="5"/>
    </row>
    <row r="16" spans="1:155" x14ac:dyDescent="0.25">
      <c r="A16" s="99" t="s">
        <v>141</v>
      </c>
      <c r="B16" s="98"/>
      <c r="C16" s="98">
        <v>0</v>
      </c>
      <c r="D16" s="98"/>
      <c r="E16" s="100"/>
      <c r="I16" s="23"/>
      <c r="J16" s="63"/>
      <c r="K16" s="63"/>
      <c r="L16" s="139" t="s">
        <v>11</v>
      </c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>
        <f>-Utvecklingsmedel!I8</f>
        <v>-833.12650873927748</v>
      </c>
      <c r="AC16" s="258"/>
      <c r="AG16" s="92"/>
      <c r="AH16" s="139" t="s">
        <v>11</v>
      </c>
      <c r="AI16" s="238"/>
      <c r="AJ16" s="238"/>
      <c r="AK16" s="238">
        <f>-275*1.006*1.0089*1.0057*1.0276*1.0091*1.0182*1.0155*1.0184*1.0123</f>
        <v>-310.27458000552707</v>
      </c>
      <c r="AL16" s="238"/>
      <c r="AM16" s="238"/>
      <c r="AN16" s="238"/>
      <c r="AO16" s="94"/>
      <c r="AP16" s="238">
        <f>840*1.0276*1.0091*1.0182*1.0155*1.0184*1.0123</f>
        <v>928.4921488178486</v>
      </c>
      <c r="AQ16" s="238">
        <f>-1862*1.0276*1.0091*1.0182*1.0155*1.0184*1.0123</f>
        <v>-2058.1575965462307</v>
      </c>
      <c r="AR16" s="238">
        <f>-815*1.0276*1.0091*1.0182*1.0155*1.0184*1.0123</f>
        <v>-900.85845391255566</v>
      </c>
      <c r="AS16" s="238"/>
      <c r="AT16" s="258"/>
      <c r="AU16" s="22"/>
      <c r="AV16" s="80"/>
      <c r="AW16" s="80"/>
      <c r="AX16" s="80"/>
      <c r="AY16" s="139" t="s">
        <v>11</v>
      </c>
      <c r="AZ16" s="238"/>
      <c r="BA16" s="238">
        <v>720.00000000000011</v>
      </c>
      <c r="BB16" s="238">
        <f t="shared" si="11"/>
        <v>1619.68</v>
      </c>
      <c r="BC16" s="238">
        <f>354*1.0123</f>
        <v>358.35419999999999</v>
      </c>
      <c r="BD16" s="238">
        <f>(-Djurfrågor!I8)*1.0123</f>
        <v>-247.38969634038605</v>
      </c>
      <c r="BE16" s="238"/>
      <c r="BF16" s="238"/>
      <c r="BG16" s="238"/>
      <c r="BH16" s="238">
        <v>-1763.8582749331799</v>
      </c>
      <c r="BI16" s="241">
        <v>1111.8</v>
      </c>
      <c r="BJ16" s="263">
        <f t="shared" si="0"/>
        <v>-1375.3387616593084</v>
      </c>
      <c r="BK16" s="18"/>
      <c r="BL16" s="18"/>
      <c r="BM16" s="18"/>
      <c r="BN16" s="18"/>
      <c r="BO16" s="18"/>
      <c r="BP16" s="3"/>
      <c r="BQ16" s="3"/>
      <c r="BR16" s="3"/>
      <c r="BS16" s="3"/>
      <c r="BT16" s="3"/>
      <c r="BU16" s="139" t="s">
        <v>11</v>
      </c>
      <c r="BV16" s="242">
        <v>2.8787947956185236E-2</v>
      </c>
      <c r="BW16" s="242">
        <v>1.5728989792262355E-2</v>
      </c>
      <c r="BX16" s="242">
        <v>3.1034482758620689E-2</v>
      </c>
      <c r="BY16" s="243">
        <v>2.4052688932675932E-2</v>
      </c>
      <c r="BZ16" s="242">
        <v>1.7043925879511122E-2</v>
      </c>
      <c r="CA16" s="242">
        <v>2.7800222321392662E-2</v>
      </c>
      <c r="CB16" s="242">
        <v>2.8400000000000002E-2</v>
      </c>
      <c r="CC16" s="242">
        <v>2.8800000000000003E-2</v>
      </c>
      <c r="CD16" s="244"/>
      <c r="CE16" s="244"/>
      <c r="CF16" s="244"/>
      <c r="CG16" s="244"/>
      <c r="CH16" s="245">
        <f t="shared" si="1"/>
        <v>34074.428356437209</v>
      </c>
      <c r="CI16" s="245">
        <f t="shared" si="2"/>
        <v>2752.1353040098488</v>
      </c>
      <c r="CJ16" s="245">
        <f t="shared" si="3"/>
        <v>4152.4832883760018</v>
      </c>
      <c r="CK16" s="245">
        <f t="shared" si="4"/>
        <v>1578.8183877743741</v>
      </c>
      <c r="CL16" s="245">
        <f t="shared" si="5"/>
        <v>7439.4639988419895</v>
      </c>
      <c r="CM16" s="245">
        <f t="shared" si="6"/>
        <v>4676.9028872567187</v>
      </c>
      <c r="CN16" s="245">
        <f t="shared" si="7"/>
        <v>1185.6936897270555</v>
      </c>
      <c r="CO16" s="156">
        <f t="shared" si="8"/>
        <v>55859.925912423198</v>
      </c>
      <c r="CS16" s="246" t="s">
        <v>11</v>
      </c>
      <c r="CT16" s="247">
        <f t="shared" si="9"/>
        <v>-1375.3387616593084</v>
      </c>
      <c r="CU16" s="247"/>
      <c r="CV16" s="247">
        <f t="shared" si="12"/>
        <v>37900</v>
      </c>
      <c r="CW16" s="247">
        <f t="shared" si="10"/>
        <v>55859.925912423198</v>
      </c>
      <c r="CX16" s="247"/>
      <c r="CY16" s="219">
        <f t="shared" ref="CY16:CY34" si="14">SUM(CT16:CW16)</f>
        <v>92384.587150763895</v>
      </c>
      <c r="CZ16" s="221">
        <f t="shared" si="13"/>
        <v>3.0652807058078487E-2</v>
      </c>
      <c r="DA16" s="248"/>
      <c r="DB16" s="247"/>
      <c r="DC16" s="247">
        <v>2772.2140351126427</v>
      </c>
      <c r="DD16" s="141"/>
      <c r="DE16" s="58"/>
      <c r="DG16" s="71"/>
      <c r="DH16" s="72"/>
      <c r="DI16" s="72"/>
      <c r="DL16" s="53"/>
      <c r="DM16" s="53"/>
      <c r="DN16" s="53"/>
      <c r="DO16" s="53"/>
      <c r="DP16" s="53"/>
      <c r="DR16" s="53"/>
      <c r="DS16" s="53"/>
      <c r="DU16" s="30"/>
      <c r="DV16" s="28"/>
      <c r="DW16" s="31"/>
      <c r="DX16" s="45"/>
      <c r="DY16" s="10"/>
      <c r="EP16" s="59"/>
      <c r="EQ16" s="48"/>
      <c r="ER16" s="60"/>
      <c r="ES16" s="12"/>
      <c r="EU16" s="5"/>
      <c r="EV16" s="5"/>
      <c r="EW16" s="5"/>
      <c r="EX16" s="49"/>
    </row>
    <row r="17" spans="1:156" x14ac:dyDescent="0.25">
      <c r="A17" s="99" t="s">
        <v>76</v>
      </c>
      <c r="B17" s="101"/>
      <c r="C17" s="66">
        <f>SUM(C13:C16)</f>
        <v>3013903</v>
      </c>
      <c r="D17" s="101" t="s">
        <v>63</v>
      </c>
      <c r="E17" s="102"/>
      <c r="F17" s="70"/>
      <c r="I17" s="23"/>
      <c r="L17" s="139" t="s">
        <v>12</v>
      </c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>
        <f>-Utvecklingsmedel!I9</f>
        <v>-1355.2716372182761</v>
      </c>
      <c r="AC17" s="258"/>
      <c r="AG17" s="92"/>
      <c r="AH17" s="139" t="s">
        <v>12</v>
      </c>
      <c r="AI17" s="238"/>
      <c r="AJ17" s="238"/>
      <c r="AK17" s="238">
        <f>577*1.006*1.0089*1.0057*1.0276*1.0091*1.0182*1.0155*1.0184*1.0123</f>
        <v>651.01248241159669</v>
      </c>
      <c r="AL17" s="238"/>
      <c r="AM17" s="238"/>
      <c r="AN17" s="238"/>
      <c r="AO17" s="94"/>
      <c r="AP17" s="238">
        <f>840*1.0276*1.0091*1.0182*1.0155*1.0184*1.0123</f>
        <v>928.4921488178486</v>
      </c>
      <c r="AQ17" s="238">
        <f>1143*1.0276*1.0091*1.0182*1.0155*1.0184*1.0123</f>
        <v>1263.4125310700013</v>
      </c>
      <c r="AR17" s="238">
        <f>1374*1.0276*1.0091*1.0182*1.0155*1.0184*1.0123</f>
        <v>1518.7478719949099</v>
      </c>
      <c r="AS17" s="238"/>
      <c r="AT17" s="258"/>
      <c r="AU17" s="22"/>
      <c r="AV17" s="80"/>
      <c r="AW17" s="80"/>
      <c r="AX17" s="80"/>
      <c r="AY17" s="139" t="s">
        <v>12</v>
      </c>
      <c r="AZ17" s="238"/>
      <c r="BA17" s="238">
        <v>1162.5000000000002</v>
      </c>
      <c r="BB17" s="238">
        <f t="shared" si="11"/>
        <v>1619.68</v>
      </c>
      <c r="BC17" s="238">
        <f>893*1.0123</f>
        <v>903.98389999999995</v>
      </c>
      <c r="BD17" s="238">
        <f>(-Djurfrågor!I9)*1.0123</f>
        <v>-402.43616698444447</v>
      </c>
      <c r="BE17" s="238"/>
      <c r="BF17" s="238"/>
      <c r="BG17" s="238"/>
      <c r="BH17" s="238">
        <v>-2958.6818024096001</v>
      </c>
      <c r="BI17" s="241">
        <v>2359.6</v>
      </c>
      <c r="BJ17" s="263">
        <f t="shared" si="0"/>
        <v>5691.0393276820359</v>
      </c>
      <c r="BK17" s="18"/>
      <c r="BL17" s="18"/>
      <c r="BM17" s="18"/>
      <c r="BN17" s="18"/>
      <c r="BO17" s="18"/>
      <c r="BP17" s="3"/>
      <c r="BQ17" s="3"/>
      <c r="BR17" s="3"/>
      <c r="BS17" s="3"/>
      <c r="BT17" s="3"/>
      <c r="BU17" s="139" t="s">
        <v>12</v>
      </c>
      <c r="BV17" s="242">
        <v>4.5206033610658718E-2</v>
      </c>
      <c r="BW17" s="242">
        <v>2.7386508308964917E-2</v>
      </c>
      <c r="BX17" s="242">
        <v>4.4827586206896551E-2</v>
      </c>
      <c r="BY17" s="243">
        <v>3.0626396143953967E-2</v>
      </c>
      <c r="BZ17" s="242">
        <v>2.0182786616671538E-2</v>
      </c>
      <c r="CA17" s="242">
        <v>6.0898773399561741E-2</v>
      </c>
      <c r="CB17" s="242">
        <v>5.6599999999999998E-2</v>
      </c>
      <c r="CC17" s="242">
        <v>4.6500000000000007E-2</v>
      </c>
      <c r="CD17" s="244"/>
      <c r="CE17" s="244"/>
      <c r="CF17" s="244"/>
      <c r="CG17" s="244"/>
      <c r="CH17" s="245">
        <f t="shared" si="1"/>
        <v>53507.452350876119</v>
      </c>
      <c r="CI17" s="245">
        <f t="shared" si="2"/>
        <v>4791.8764883259855</v>
      </c>
      <c r="CJ17" s="245">
        <f t="shared" si="3"/>
        <v>5998.0314165431137</v>
      </c>
      <c r="CK17" s="245">
        <f t="shared" si="4"/>
        <v>1869.5783384761801</v>
      </c>
      <c r="CL17" s="245">
        <f t="shared" si="5"/>
        <v>16296.78450200897</v>
      </c>
      <c r="CM17" s="245">
        <f t="shared" si="6"/>
        <v>9320.869838687684</v>
      </c>
      <c r="CN17" s="245">
        <f t="shared" si="7"/>
        <v>1914.4012698718084</v>
      </c>
      <c r="CO17" s="156">
        <f t="shared" si="8"/>
        <v>93698.994204789866</v>
      </c>
      <c r="CS17" s="246" t="s">
        <v>12</v>
      </c>
      <c r="CT17" s="247">
        <f t="shared" si="9"/>
        <v>5691.0393276820359</v>
      </c>
      <c r="CU17" s="247"/>
      <c r="CV17" s="247">
        <f t="shared" si="12"/>
        <v>37900</v>
      </c>
      <c r="CW17" s="247">
        <f t="shared" si="10"/>
        <v>93698.994204789866</v>
      </c>
      <c r="CX17" s="247"/>
      <c r="CY17" s="219">
        <f t="shared" si="14"/>
        <v>137290.03353247192</v>
      </c>
      <c r="CZ17" s="221">
        <f t="shared" si="13"/>
        <v>4.5552240245446504E-2</v>
      </c>
      <c r="DA17" s="248"/>
      <c r="DB17" s="247"/>
      <c r="DC17" s="247">
        <v>4027.7283509700583</v>
      </c>
      <c r="DD17" s="141"/>
      <c r="DE17" s="58"/>
      <c r="DF17" s="54"/>
      <c r="DG17" s="71"/>
      <c r="DH17" s="72"/>
      <c r="DI17" s="72"/>
      <c r="DL17" s="51"/>
      <c r="DM17" s="52"/>
      <c r="DN17" s="52"/>
      <c r="DO17" s="52"/>
      <c r="DP17" s="4"/>
      <c r="DQ17" s="54"/>
      <c r="DR17" s="55"/>
      <c r="DS17" s="55"/>
      <c r="DU17" s="30"/>
      <c r="DV17" s="28"/>
      <c r="DW17" s="33"/>
      <c r="DX17" s="45"/>
      <c r="DY17" s="10"/>
      <c r="EQ17" s="48"/>
      <c r="ER17" s="61"/>
      <c r="ES17" s="12"/>
      <c r="EU17" s="5"/>
      <c r="EV17" s="5"/>
    </row>
    <row r="18" spans="1:156" x14ac:dyDescent="0.25">
      <c r="A18" s="99"/>
      <c r="B18" s="101"/>
      <c r="C18" s="103"/>
      <c r="D18" s="101"/>
      <c r="E18" s="102"/>
      <c r="F18" s="3"/>
      <c r="I18" s="23"/>
      <c r="L18" s="139" t="s">
        <v>13</v>
      </c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>
        <f>-Utvecklingsmedel!I10</f>
        <v>-1208.7604268425853</v>
      </c>
      <c r="AC18" s="258"/>
      <c r="AG18" s="92"/>
      <c r="AH18" s="139" t="s">
        <v>13</v>
      </c>
      <c r="AI18" s="238"/>
      <c r="AJ18" s="238"/>
      <c r="AK18" s="238">
        <f>-960*1.006*1.0089*1.0057*1.0276*1.0091*1.0182*1.0155*1.0184*1.0123</f>
        <v>-1083.1403520192941</v>
      </c>
      <c r="AL18" s="238">
        <v>5700</v>
      </c>
      <c r="AM18" s="238"/>
      <c r="AN18" s="238"/>
      <c r="AO18" s="94"/>
      <c r="AP18" s="238"/>
      <c r="AQ18" s="238">
        <f>-1143*1.0276*1.0091*1.0182*1.0155*1.0184*1.0123</f>
        <v>-1263.4125310700013</v>
      </c>
      <c r="AR18" s="238">
        <f>-800*1.0276*1.0091*1.0182*1.0155*1.0184*1.0123</f>
        <v>-884.27823696937969</v>
      </c>
      <c r="AS18" s="238"/>
      <c r="AT18" s="258"/>
      <c r="AU18" s="22"/>
      <c r="AV18" s="80"/>
      <c r="AW18" s="80"/>
      <c r="AX18" s="80"/>
      <c r="AY18" s="139" t="s">
        <v>13</v>
      </c>
      <c r="AZ18" s="238"/>
      <c r="BA18" s="238">
        <v>1316.6666666666667</v>
      </c>
      <c r="BB18" s="238">
        <f t="shared" si="11"/>
        <v>1619.68</v>
      </c>
      <c r="BC18" s="238">
        <f>236*1.0123</f>
        <v>238.90279999999998</v>
      </c>
      <c r="BD18" s="238">
        <f>(-Djurfrågor!I10)*1.0123</f>
        <v>-358.93093282720639</v>
      </c>
      <c r="BE18" s="238"/>
      <c r="BF18" s="238"/>
      <c r="BG18" s="238"/>
      <c r="BH18" s="238">
        <v>-2642.29315352308</v>
      </c>
      <c r="BI18" s="241">
        <v>2704.7</v>
      </c>
      <c r="BJ18" s="263">
        <f t="shared" si="0"/>
        <v>4139.1338334151205</v>
      </c>
      <c r="BK18" s="18"/>
      <c r="BL18" s="18"/>
      <c r="BM18" s="18"/>
      <c r="BN18" s="18"/>
      <c r="BO18" s="18"/>
      <c r="BP18" s="3"/>
      <c r="BQ18" s="3"/>
      <c r="BR18" s="3"/>
      <c r="BS18" s="3"/>
      <c r="BT18" s="3"/>
      <c r="BU18" s="139" t="s">
        <v>13</v>
      </c>
      <c r="BV18" s="242">
        <v>3.5299254701616822E-2</v>
      </c>
      <c r="BW18" s="242">
        <v>2.6053763228258541E-2</v>
      </c>
      <c r="BX18" s="242">
        <v>4.4827586206896551E-2</v>
      </c>
      <c r="BY18" s="243">
        <v>1.5973392651191336E-2</v>
      </c>
      <c r="BZ18" s="242">
        <v>2.2231398806470914E-2</v>
      </c>
      <c r="CA18" s="242">
        <v>6.2180639918850908E-2</v>
      </c>
      <c r="CB18" s="242">
        <v>6.3600000000000004E-2</v>
      </c>
      <c r="CC18" s="242">
        <v>5.2666666666666667E-2</v>
      </c>
      <c r="CD18" s="244"/>
      <c r="CE18" s="244"/>
      <c r="CF18" s="244"/>
      <c r="CG18" s="244"/>
      <c r="CH18" s="245">
        <f t="shared" si="1"/>
        <v>41781.440177553319</v>
      </c>
      <c r="CI18" s="245">
        <f t="shared" si="2"/>
        <v>4558.6832040591325</v>
      </c>
      <c r="CJ18" s="245">
        <f t="shared" si="3"/>
        <v>5998.0314165431137</v>
      </c>
      <c r="CK18" s="245">
        <f t="shared" si="4"/>
        <v>2059.3460373936055</v>
      </c>
      <c r="CL18" s="245">
        <f t="shared" si="5"/>
        <v>16639.817723517932</v>
      </c>
      <c r="CM18" s="245">
        <f t="shared" si="6"/>
        <v>10473.62759258899</v>
      </c>
      <c r="CN18" s="245">
        <f t="shared" si="7"/>
        <v>2168.2824418619762</v>
      </c>
      <c r="CO18" s="156">
        <f t="shared" si="8"/>
        <v>83679.228593518055</v>
      </c>
      <c r="CS18" s="246" t="s">
        <v>13</v>
      </c>
      <c r="CT18" s="247">
        <f t="shared" si="9"/>
        <v>4139.1338334151205</v>
      </c>
      <c r="CU18" s="247"/>
      <c r="CV18" s="247">
        <f t="shared" si="12"/>
        <v>37900</v>
      </c>
      <c r="CW18" s="247">
        <f t="shared" si="10"/>
        <v>83679.228593518055</v>
      </c>
      <c r="CX18" s="247"/>
      <c r="CY18" s="219">
        <f t="shared" si="14"/>
        <v>125718.36242693318</v>
      </c>
      <c r="CZ18" s="221">
        <f t="shared" si="13"/>
        <v>4.1712809744352493E-2</v>
      </c>
      <c r="DA18" s="248"/>
      <c r="DB18" s="247"/>
      <c r="DC18" s="247">
        <v>3670.3421315280725</v>
      </c>
      <c r="DD18" s="141"/>
      <c r="DE18" s="58"/>
      <c r="DF18" s="52"/>
      <c r="DG18" s="73"/>
      <c r="DH18" s="74"/>
      <c r="DI18" s="75"/>
      <c r="DJ18" s="67"/>
      <c r="DK18" s="52"/>
      <c r="DM18" s="57"/>
      <c r="DN18" s="57"/>
      <c r="DO18" s="20"/>
      <c r="DP18" s="57"/>
      <c r="DQ18" s="58"/>
      <c r="DR18" s="58"/>
      <c r="DS18" s="58"/>
      <c r="DT18" s="53"/>
      <c r="DU18" s="34"/>
      <c r="DV18" s="32"/>
      <c r="DW18" s="35"/>
      <c r="DX18" s="35"/>
      <c r="DY18" s="19"/>
      <c r="DZ18" s="5"/>
      <c r="EA18" s="3"/>
      <c r="EB18" s="3"/>
      <c r="EC18" s="5"/>
      <c r="ED18" s="15"/>
      <c r="EE18" s="5"/>
      <c r="EG18" s="16"/>
      <c r="EQ18" s="48"/>
      <c r="ER18" s="12"/>
      <c r="ES18" s="12"/>
      <c r="EU18" s="5"/>
      <c r="EV18" s="5"/>
    </row>
    <row r="19" spans="1:156" x14ac:dyDescent="0.25">
      <c r="A19" s="99" t="s">
        <v>10</v>
      </c>
      <c r="B19" s="101"/>
      <c r="C19" s="103">
        <f>SUM(-BJ36)</f>
        <v>-141507.01089052882</v>
      </c>
      <c r="D19" s="101" t="s">
        <v>77</v>
      </c>
      <c r="E19" s="102"/>
      <c r="F19" s="3"/>
      <c r="I19" s="23"/>
      <c r="L19" s="139" t="s">
        <v>1</v>
      </c>
      <c r="M19" s="238"/>
      <c r="N19" s="238"/>
      <c r="O19" s="238"/>
      <c r="P19" s="238"/>
      <c r="Q19" s="238"/>
      <c r="R19" s="238"/>
      <c r="S19" s="238"/>
      <c r="T19" s="238"/>
      <c r="U19" s="238">
        <f>332.519887550296*1.0362*1.006*1.0089*1.0057*1.0276*1.0091*1.0182*1.0155*1.0184*1.0123</f>
        <v>388.75386113148124</v>
      </c>
      <c r="V19" s="238"/>
      <c r="W19" s="238"/>
      <c r="X19" s="238"/>
      <c r="Y19" s="238"/>
      <c r="Z19" s="238"/>
      <c r="AA19" s="238"/>
      <c r="AB19" s="238">
        <f>-Utvecklingsmedel!I11</f>
        <v>-709.90407118901112</v>
      </c>
      <c r="AC19" s="258"/>
      <c r="AG19" s="92"/>
      <c r="AH19" s="139" t="s">
        <v>1</v>
      </c>
      <c r="AI19" s="238"/>
      <c r="AJ19" s="238"/>
      <c r="AK19" s="238">
        <f>-98*1.006*1.0089*1.0057*1.0276*1.0091*1.0182*1.0155*1.0184*1.0123</f>
        <v>-110.57057760196963</v>
      </c>
      <c r="AL19" s="238"/>
      <c r="AM19" s="238"/>
      <c r="AN19" s="238"/>
      <c r="AO19" s="94"/>
      <c r="AP19" s="238"/>
      <c r="AQ19" s="238">
        <f>-1272*1.0276*1.0091*1.0182*1.0155*1.0184*1.0123</f>
        <v>-1406.0023967813138</v>
      </c>
      <c r="AR19" s="238">
        <f>-551*1.0276*1.0091*1.0182*1.0155*1.0184*1.0123</f>
        <v>-609.0466357126603</v>
      </c>
      <c r="AS19" s="238"/>
      <c r="AT19" s="258"/>
      <c r="AU19" s="22"/>
      <c r="AV19" s="80"/>
      <c r="AW19" s="80"/>
      <c r="AX19" s="80"/>
      <c r="AY19" s="139" t="s">
        <v>1</v>
      </c>
      <c r="AZ19" s="238"/>
      <c r="BA19" s="238">
        <v>913.33333333333337</v>
      </c>
      <c r="BB19" s="238">
        <f t="shared" si="11"/>
        <v>1619.68</v>
      </c>
      <c r="BC19" s="238">
        <f>67*1.0123</f>
        <v>67.824100000000001</v>
      </c>
      <c r="BD19" s="238">
        <f>(-Djurfrågor!I11)*1.0123</f>
        <v>-210.7998614376265</v>
      </c>
      <c r="BE19" s="238"/>
      <c r="BF19" s="238"/>
      <c r="BG19" s="238"/>
      <c r="BH19" s="238">
        <v>-1491.5275515896301</v>
      </c>
      <c r="BI19" s="241">
        <v>1635.4</v>
      </c>
      <c r="BJ19" s="263">
        <f t="shared" si="0"/>
        <v>87.140200152603484</v>
      </c>
      <c r="BK19" s="18"/>
      <c r="BL19" s="18"/>
      <c r="BM19" s="18"/>
      <c r="BN19" s="18"/>
      <c r="BO19" s="18"/>
      <c r="BP19" s="3"/>
      <c r="BQ19" s="3"/>
      <c r="BR19" s="3"/>
      <c r="BS19" s="3"/>
      <c r="BT19" s="3"/>
      <c r="BU19" s="139" t="s">
        <v>1</v>
      </c>
      <c r="BV19" s="242">
        <v>1.9517221030880487E-2</v>
      </c>
      <c r="BW19" s="242">
        <v>2.0902415113363795E-2</v>
      </c>
      <c r="BX19" s="242">
        <v>2.7586206896551724E-2</v>
      </c>
      <c r="BY19" s="243">
        <v>1.7083418914716986E-2</v>
      </c>
      <c r="BZ19" s="242">
        <v>1.7760500529591161E-2</v>
      </c>
      <c r="CA19" s="242">
        <v>2.5542136158440334E-2</v>
      </c>
      <c r="CB19" s="242">
        <v>4.1300000000000003E-2</v>
      </c>
      <c r="CC19" s="242">
        <v>3.6533333333333334E-2</v>
      </c>
      <c r="CD19" s="244"/>
      <c r="CE19" s="244"/>
      <c r="CF19" s="244"/>
      <c r="CG19" s="244"/>
      <c r="CH19" s="245">
        <f t="shared" si="1"/>
        <v>23101.269696112533</v>
      </c>
      <c r="CI19" s="245">
        <f t="shared" si="2"/>
        <v>3657.3407022526476</v>
      </c>
      <c r="CJ19" s="245">
        <f t="shared" si="3"/>
        <v>3691.0962563342237</v>
      </c>
      <c r="CK19" s="245">
        <f t="shared" si="4"/>
        <v>1645.1963597133017</v>
      </c>
      <c r="CL19" s="245">
        <f t="shared" si="5"/>
        <v>6835.190028606864</v>
      </c>
      <c r="CM19" s="245">
        <f t="shared" si="6"/>
        <v>6801.2707480176923</v>
      </c>
      <c r="CN19" s="245">
        <f t="shared" si="7"/>
        <v>1504.0744027093201</v>
      </c>
      <c r="CO19" s="156">
        <f t="shared" si="8"/>
        <v>47235.438193746573</v>
      </c>
      <c r="CS19" s="246" t="s">
        <v>1</v>
      </c>
      <c r="CT19" s="247">
        <f t="shared" si="9"/>
        <v>87.140200152603484</v>
      </c>
      <c r="CU19" s="247"/>
      <c r="CV19" s="247">
        <f t="shared" si="12"/>
        <v>37900</v>
      </c>
      <c r="CW19" s="247">
        <f t="shared" si="10"/>
        <v>47235.438193746573</v>
      </c>
      <c r="CX19" s="247"/>
      <c r="CY19" s="219">
        <f>SUM(CT19:CW19)</f>
        <v>85222.578393899166</v>
      </c>
      <c r="CZ19" s="221">
        <f t="shared" si="13"/>
        <v>2.827648348135265E-2</v>
      </c>
      <c r="DA19" s="248"/>
      <c r="DB19" s="247"/>
      <c r="DC19" s="247">
        <v>2544.8338739843894</v>
      </c>
      <c r="DD19" s="141"/>
      <c r="DE19" s="58"/>
      <c r="DF19" s="52"/>
      <c r="DG19" s="73"/>
      <c r="DH19" s="74"/>
      <c r="DI19" s="74"/>
      <c r="DJ19" s="67"/>
      <c r="DK19" s="52"/>
      <c r="DM19" s="64"/>
      <c r="DN19" s="57"/>
      <c r="DO19" s="20"/>
      <c r="DP19" s="57"/>
      <c r="DQ19" s="58"/>
      <c r="DR19" s="65"/>
      <c r="DS19" s="65"/>
      <c r="DT19" s="56"/>
      <c r="DU19" s="38"/>
      <c r="DV19" s="37"/>
      <c r="DW19" s="39"/>
      <c r="DX19" s="46"/>
      <c r="DZ19" s="5"/>
      <c r="EA19" s="3"/>
      <c r="EB19" s="3"/>
      <c r="EC19" s="3"/>
      <c r="ED19" s="3"/>
      <c r="EE19" s="3"/>
      <c r="EQ19" s="62"/>
    </row>
    <row r="20" spans="1:156" x14ac:dyDescent="0.25">
      <c r="A20" s="99" t="s">
        <v>73</v>
      </c>
      <c r="B20" s="101"/>
      <c r="C20" s="103">
        <f>-6*3000</f>
        <v>-18000</v>
      </c>
      <c r="D20" s="101" t="s">
        <v>26</v>
      </c>
      <c r="E20" s="102" t="s">
        <v>78</v>
      </c>
      <c r="F20" s="5"/>
      <c r="I20" s="23"/>
      <c r="J20" s="14"/>
      <c r="L20" s="139" t="s">
        <v>3</v>
      </c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>
        <v>-280</v>
      </c>
      <c r="Z20" s="238">
        <v>-334</v>
      </c>
      <c r="AA20" s="238"/>
      <c r="AB20" s="238">
        <f>-Utvecklingsmedel!I12</f>
        <v>-963.39799064450096</v>
      </c>
      <c r="AC20" s="258"/>
      <c r="AG20" s="92"/>
      <c r="AH20" s="139" t="s">
        <v>3</v>
      </c>
      <c r="AI20" s="238"/>
      <c r="AJ20" s="238"/>
      <c r="AK20" s="238">
        <f>-257*1.006*1.0089*1.0057*1.0276*1.0091*1.0182*1.0155*1.0184*1.0123</f>
        <v>-289.96569840516531</v>
      </c>
      <c r="AL20" s="238"/>
      <c r="AM20" s="238"/>
      <c r="AN20" s="238"/>
      <c r="AO20" s="94"/>
      <c r="AP20" s="238">
        <f>1680*1.0276*1.0091*1.0182*1.0155*1.0184*1.0123</f>
        <v>1856.9842976356972</v>
      </c>
      <c r="AQ20" s="238">
        <f>1272*1.0276*1.0091*1.0182*1.0155*1.0184*1.0123</f>
        <v>1406.0023967813138</v>
      </c>
      <c r="AR20" s="238">
        <f>-574*1.0276*1.0091*1.0182*1.0155*1.0184*1.0123</f>
        <v>-634.46963502553001</v>
      </c>
      <c r="AS20" s="238"/>
      <c r="AT20" s="258"/>
      <c r="AU20" s="22"/>
      <c r="AV20" s="80"/>
      <c r="AW20" s="80"/>
      <c r="AX20" s="80"/>
      <c r="AY20" s="139" t="s">
        <v>3</v>
      </c>
      <c r="AZ20" s="238"/>
      <c r="BA20" s="238">
        <v>1192.5</v>
      </c>
      <c r="BB20" s="238">
        <f t="shared" si="11"/>
        <v>1619.68</v>
      </c>
      <c r="BC20" s="238">
        <f>489*1.0123</f>
        <v>495.0147</v>
      </c>
      <c r="BD20" s="238">
        <f>(-Djurfrågor!I12)*1.0123</f>
        <v>-286.0726838726323</v>
      </c>
      <c r="BE20" s="238"/>
      <c r="BF20" s="238"/>
      <c r="BG20" s="238"/>
      <c r="BH20" s="238">
        <v>-2057.8196415899301</v>
      </c>
      <c r="BI20" s="94">
        <v>2482</v>
      </c>
      <c r="BJ20" s="263">
        <f t="shared" si="0"/>
        <v>4206.455744879253</v>
      </c>
      <c r="BK20" s="18"/>
      <c r="BL20" s="18"/>
      <c r="BM20" s="18"/>
      <c r="BN20" s="18"/>
      <c r="BO20" s="18"/>
      <c r="BP20" s="3"/>
      <c r="BQ20" s="3"/>
      <c r="BR20" s="3"/>
      <c r="BS20" s="3"/>
      <c r="BT20" s="3"/>
      <c r="BU20" s="139" t="s">
        <v>3</v>
      </c>
      <c r="BV20" s="242">
        <v>2.4064246685010102E-2</v>
      </c>
      <c r="BW20" s="242">
        <v>2.6144864952665672E-2</v>
      </c>
      <c r="BX20" s="242">
        <v>4.1379310344827586E-2</v>
      </c>
      <c r="BY20" s="243">
        <v>3.1567035798027852E-2</v>
      </c>
      <c r="BZ20" s="242">
        <v>3.7996041108231779E-2</v>
      </c>
      <c r="CA20" s="242">
        <v>4.2015625612511875E-2</v>
      </c>
      <c r="CB20" s="242">
        <v>5.9799999999999999E-2</v>
      </c>
      <c r="CC20" s="242">
        <v>4.7699999999999999E-2</v>
      </c>
      <c r="CD20" s="244"/>
      <c r="CE20" s="244"/>
      <c r="CF20" s="244"/>
      <c r="CG20" s="244"/>
      <c r="CH20" s="245">
        <f t="shared" si="1"/>
        <v>28483.289287169649</v>
      </c>
      <c r="CI20" s="245">
        <f t="shared" si="2"/>
        <v>4574.6234694740406</v>
      </c>
      <c r="CJ20" s="245">
        <f t="shared" si="3"/>
        <v>5536.6443845013355</v>
      </c>
      <c r="CK20" s="245">
        <f t="shared" si="4"/>
        <v>3519.6614200500162</v>
      </c>
      <c r="CL20" s="245">
        <f t="shared" si="5"/>
        <v>11243.569584426512</v>
      </c>
      <c r="CM20" s="245">
        <f t="shared" si="6"/>
        <v>9847.8448118997094</v>
      </c>
      <c r="CN20" s="245">
        <f t="shared" si="7"/>
        <v>1963.8051736104353</v>
      </c>
      <c r="CO20" s="156">
        <f t="shared" si="8"/>
        <v>65169.438131131697</v>
      </c>
      <c r="CS20" s="246" t="s">
        <v>3</v>
      </c>
      <c r="CT20" s="247">
        <f t="shared" si="9"/>
        <v>4206.455744879253</v>
      </c>
      <c r="CU20" s="247"/>
      <c r="CV20" s="247">
        <f t="shared" si="12"/>
        <v>37900</v>
      </c>
      <c r="CW20" s="247">
        <f t="shared" si="10"/>
        <v>65169.438131131697</v>
      </c>
      <c r="CX20" s="247"/>
      <c r="CY20" s="219">
        <f t="shared" si="14"/>
        <v>107275.89387601096</v>
      </c>
      <c r="CZ20" s="221">
        <f t="shared" si="13"/>
        <v>3.5593678322099614E-2</v>
      </c>
      <c r="DA20" s="248"/>
      <c r="DB20" s="247"/>
      <c r="DC20" s="247">
        <v>3167.0324182733384</v>
      </c>
      <c r="DD20" s="141"/>
      <c r="DE20" s="58"/>
      <c r="DF20" s="58"/>
      <c r="DG20" s="76"/>
      <c r="DH20" s="77"/>
      <c r="DI20" s="78"/>
      <c r="DJ20" s="68"/>
      <c r="DK20" s="4"/>
      <c r="DM20" s="57"/>
      <c r="DN20" s="57"/>
      <c r="DO20" s="20"/>
      <c r="DP20" s="57"/>
      <c r="DQ20" s="58"/>
      <c r="DR20" s="58"/>
      <c r="DS20" s="58"/>
      <c r="DT20" s="58"/>
      <c r="DU20" s="41"/>
      <c r="DV20" s="40"/>
      <c r="DW20" s="42"/>
      <c r="DX20" s="47"/>
      <c r="DY20" s="21"/>
      <c r="DZ20" s="4"/>
      <c r="EA20" s="3"/>
      <c r="EB20" s="4"/>
      <c r="EC20" s="4"/>
      <c r="ED20" s="14"/>
      <c r="EE20" s="4"/>
      <c r="EG20" s="4"/>
      <c r="EH20" s="4"/>
      <c r="EI20" s="4"/>
      <c r="EJ20" s="4"/>
      <c r="EL20" s="4"/>
      <c r="EM20" s="14"/>
      <c r="EQ20" s="14"/>
      <c r="ER20" s="14"/>
      <c r="ES20" s="14"/>
      <c r="EW20" s="14"/>
      <c r="EX20" s="4"/>
      <c r="EZ20" s="10"/>
    </row>
    <row r="21" spans="1:156" x14ac:dyDescent="0.25">
      <c r="A21" s="99" t="s">
        <v>74</v>
      </c>
      <c r="B21" s="101"/>
      <c r="C21" s="103">
        <f>-21*37900</f>
        <v>-795900</v>
      </c>
      <c r="D21" s="101" t="s">
        <v>144</v>
      </c>
      <c r="E21" s="102" t="s">
        <v>77</v>
      </c>
      <c r="F21" s="5"/>
      <c r="I21" s="23"/>
      <c r="J21" s="14"/>
      <c r="L21" s="139" t="s">
        <v>7</v>
      </c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>
        <v>-280</v>
      </c>
      <c r="Z21" s="238">
        <v>-334</v>
      </c>
      <c r="AA21" s="238"/>
      <c r="AB21" s="238">
        <f>-Utvecklingsmedel!I13</f>
        <v>-314.6327567658517</v>
      </c>
      <c r="AC21" s="258"/>
      <c r="AG21" s="92"/>
      <c r="AH21" s="139" t="s">
        <v>7</v>
      </c>
      <c r="AI21" s="238"/>
      <c r="AJ21" s="238"/>
      <c r="AK21" s="238">
        <f>-128*1.006*1.0089*1.0057*1.0276*1.0091*1.0182*1.0155*1.0184*1.0123</f>
        <v>-144.41871360257255</v>
      </c>
      <c r="AL21" s="238"/>
      <c r="AM21" s="238"/>
      <c r="AN21" s="238"/>
      <c r="AO21" s="94">
        <v>2000</v>
      </c>
      <c r="AP21" s="238">
        <f>840*1.0276*1.0091*1.0182*1.0155*1.0184*1.0123</f>
        <v>928.4921488178486</v>
      </c>
      <c r="AQ21" s="238">
        <f>-872*1.0276*1.0091*1.0182*1.0155*1.0184*1.0123</f>
        <v>-963.863278296624</v>
      </c>
      <c r="AR21" s="238">
        <f>-352*1.0276*1.0091*1.0182*1.0155*1.0184*1.0123</f>
        <v>-389.08242426652708</v>
      </c>
      <c r="AS21" s="238"/>
      <c r="AT21" s="258"/>
      <c r="AU21" s="22"/>
      <c r="AV21" s="80"/>
      <c r="AW21" s="80"/>
      <c r="AX21" s="80"/>
      <c r="AY21" s="139" t="s">
        <v>7</v>
      </c>
      <c r="AZ21" s="238"/>
      <c r="BA21" s="238">
        <v>542.5</v>
      </c>
      <c r="BB21" s="238">
        <f t="shared" si="11"/>
        <v>1619.68</v>
      </c>
      <c r="BC21" s="238">
        <f>118*1.0123</f>
        <v>119.45139999999999</v>
      </c>
      <c r="BD21" s="238">
        <f>(-Djurfrågor!I13)*1.0123</f>
        <v>-93.427470304394348</v>
      </c>
      <c r="BE21" s="238"/>
      <c r="BF21" s="238"/>
      <c r="BG21" s="238"/>
      <c r="BH21" s="238">
        <v>-608.47932102054301</v>
      </c>
      <c r="BI21" s="241">
        <v>1018.3</v>
      </c>
      <c r="BJ21" s="263">
        <f t="shared" si="0"/>
        <v>3100.5195845613362</v>
      </c>
      <c r="BK21" s="18"/>
      <c r="BL21" s="18"/>
      <c r="BM21" s="18"/>
      <c r="BN21" s="18"/>
      <c r="BO21" s="18"/>
      <c r="BP21" s="3"/>
      <c r="BQ21" s="3"/>
      <c r="BR21" s="3"/>
      <c r="BS21" s="3"/>
      <c r="BT21" s="3"/>
      <c r="BU21" s="139" t="s">
        <v>7</v>
      </c>
      <c r="BV21" s="242">
        <v>5.7898813091623695E-3</v>
      </c>
      <c r="BW21" s="242">
        <v>7.0999053872018349E-3</v>
      </c>
      <c r="BX21" s="242">
        <v>3.4482758620689655E-3</v>
      </c>
      <c r="BY21" s="243">
        <v>2.3554233246670563E-2</v>
      </c>
      <c r="BZ21" s="242">
        <v>2.9946665744449253E-2</v>
      </c>
      <c r="CA21" s="242">
        <v>9.4677594090596413E-3</v>
      </c>
      <c r="CB21" s="242">
        <v>2.7400000000000001E-2</v>
      </c>
      <c r="CC21" s="242">
        <v>2.1700000000000001E-2</v>
      </c>
      <c r="CD21" s="244"/>
      <c r="CE21" s="244"/>
      <c r="CF21" s="244"/>
      <c r="CG21" s="244"/>
      <c r="CH21" s="245">
        <f t="shared" si="1"/>
        <v>6853.1072850901119</v>
      </c>
      <c r="CI21" s="245">
        <f t="shared" si="2"/>
        <v>1242.2857748219947</v>
      </c>
      <c r="CJ21" s="245">
        <f t="shared" si="3"/>
        <v>461.38703204177796</v>
      </c>
      <c r="CK21" s="245">
        <f t="shared" si="4"/>
        <v>2774.0291094967852</v>
      </c>
      <c r="CL21" s="245">
        <f t="shared" si="5"/>
        <v>2533.6148200223543</v>
      </c>
      <c r="CM21" s="245">
        <f t="shared" si="6"/>
        <v>4512.2232081279608</v>
      </c>
      <c r="CN21" s="245">
        <f t="shared" si="7"/>
        <v>893.38725927351038</v>
      </c>
      <c r="CO21" s="156">
        <f t="shared" si="8"/>
        <v>19270.034488874495</v>
      </c>
      <c r="CS21" s="246" t="s">
        <v>7</v>
      </c>
      <c r="CT21" s="247">
        <f t="shared" si="9"/>
        <v>3100.5195845613362</v>
      </c>
      <c r="CU21" s="247"/>
      <c r="CV21" s="247">
        <f t="shared" si="12"/>
        <v>37900</v>
      </c>
      <c r="CW21" s="247">
        <f t="shared" si="10"/>
        <v>19270.034488874495</v>
      </c>
      <c r="CX21" s="247"/>
      <c r="CY21" s="219">
        <f>SUM(CT21:CW21)</f>
        <v>60270.554073435829</v>
      </c>
      <c r="CZ21" s="221">
        <f t="shared" si="13"/>
        <v>1.999750956598001E-2</v>
      </c>
      <c r="DA21" s="248"/>
      <c r="DB21" s="247"/>
      <c r="DC21" s="247">
        <v>1833.6472653716389</v>
      </c>
      <c r="DD21" s="141"/>
      <c r="DE21" s="58"/>
      <c r="DF21" s="58"/>
      <c r="DG21" s="76"/>
      <c r="DH21" s="77"/>
      <c r="DI21" s="78"/>
      <c r="DJ21" s="68"/>
      <c r="DK21" s="4"/>
      <c r="DM21" s="57"/>
      <c r="DN21" s="57"/>
      <c r="DO21" s="20"/>
      <c r="DP21" s="57"/>
      <c r="DQ21" s="58"/>
      <c r="DR21" s="58"/>
      <c r="DS21" s="58"/>
      <c r="DT21" s="58"/>
      <c r="DU21" s="41"/>
      <c r="DV21" s="40"/>
      <c r="DW21" s="42"/>
      <c r="DX21" s="47"/>
      <c r="DY21" s="20"/>
      <c r="DZ21" s="4"/>
      <c r="EA21" s="43"/>
      <c r="EB21" s="4"/>
      <c r="EC21" s="4"/>
      <c r="ED21" s="14"/>
      <c r="EE21" s="4"/>
      <c r="EG21" s="4"/>
      <c r="EH21" s="4"/>
      <c r="EI21" s="4"/>
      <c r="EJ21" s="4"/>
      <c r="EL21" s="4"/>
      <c r="EM21" s="14"/>
      <c r="EQ21" s="14"/>
      <c r="ER21" s="14"/>
      <c r="ES21" s="14"/>
      <c r="EW21" s="14"/>
      <c r="EX21" s="4"/>
      <c r="EZ21" s="10"/>
    </row>
    <row r="22" spans="1:156" x14ac:dyDescent="0.25">
      <c r="A22" s="99"/>
      <c r="B22" s="101"/>
      <c r="C22" s="101"/>
      <c r="D22" s="101"/>
      <c r="E22" s="102"/>
      <c r="F22" s="3"/>
      <c r="I22" s="23"/>
      <c r="J22" s="14"/>
      <c r="L22" s="139" t="s">
        <v>4</v>
      </c>
      <c r="M22" s="238"/>
      <c r="N22" s="238"/>
      <c r="O22" s="238"/>
      <c r="P22" s="238"/>
      <c r="Q22" s="238"/>
      <c r="R22" s="239"/>
      <c r="S22" s="238"/>
      <c r="T22" s="238"/>
      <c r="U22" s="238"/>
      <c r="V22" s="238"/>
      <c r="W22" s="238"/>
      <c r="X22" s="238"/>
      <c r="Y22" s="238"/>
      <c r="Z22" s="238"/>
      <c r="AA22" s="238"/>
      <c r="AB22" s="238">
        <f>-Utvecklingsmedel!I14</f>
        <v>-547.43272111258455</v>
      </c>
      <c r="AC22" s="258"/>
      <c r="AG22" s="92"/>
      <c r="AH22" s="139" t="s">
        <v>4</v>
      </c>
      <c r="AI22" s="238"/>
      <c r="AJ22" s="238"/>
      <c r="AK22" s="238">
        <f>-76*1.006*1.0089*1.0057*1.0276*1.0091*1.0182*1.0155*1.0184*1.0123</f>
        <v>-85.748611201527481</v>
      </c>
      <c r="AL22" s="238"/>
      <c r="AM22" s="238">
        <f>-4648*1.006*1.0089*1.0057*1.0276*1.0091*1.0182*1.0155*1.0184*1.0123</f>
        <v>-5244.2045376934157</v>
      </c>
      <c r="AN22" s="238"/>
      <c r="AO22" s="94"/>
      <c r="AP22" s="238">
        <f>840*1.0276*1.0091*1.0182*1.0155*1.0184*1.0123</f>
        <v>928.4921488178486</v>
      </c>
      <c r="AQ22" s="238">
        <f>-1610*1.0276*1.0091*1.0182*1.0155*1.0184*1.0123</f>
        <v>-1779.6099519008767</v>
      </c>
      <c r="AR22" s="238">
        <f>-363*1.0276*1.0091*1.0182*1.0155*1.0184*1.0123</f>
        <v>-401.24125002485596</v>
      </c>
      <c r="AS22" s="238"/>
      <c r="AT22" s="258"/>
      <c r="AU22" s="22"/>
      <c r="AV22" s="80"/>
      <c r="AW22" s="80"/>
      <c r="AX22" s="80"/>
      <c r="AY22" s="139" t="s">
        <v>4</v>
      </c>
      <c r="AZ22" s="238"/>
      <c r="BA22" s="238">
        <v>633.33333333333337</v>
      </c>
      <c r="BB22" s="238">
        <f t="shared" si="11"/>
        <v>1619.68</v>
      </c>
      <c r="BC22" s="238">
        <f>354*1.0123</f>
        <v>358.35419999999999</v>
      </c>
      <c r="BD22" s="238">
        <f>(-Djurfrågor!I14)*1.0123</f>
        <v>-162.55540211746563</v>
      </c>
      <c r="BE22" s="238"/>
      <c r="BF22" s="238"/>
      <c r="BG22" s="238"/>
      <c r="BH22" s="238">
        <v>-1123.3635801393</v>
      </c>
      <c r="BI22" s="241">
        <v>90.1</v>
      </c>
      <c r="BJ22" s="263">
        <f t="shared" si="0"/>
        <v>-5714.1963720388439</v>
      </c>
      <c r="BK22" s="18"/>
      <c r="BL22" s="18"/>
      <c r="BM22" s="18"/>
      <c r="BN22" s="18"/>
      <c r="BO22" s="18"/>
      <c r="BP22" s="3"/>
      <c r="BQ22" s="3"/>
      <c r="BR22" s="3"/>
      <c r="BS22" s="3"/>
      <c r="BT22" s="3"/>
      <c r="BU22" s="139" t="s">
        <v>4</v>
      </c>
      <c r="BV22" s="242">
        <v>1.5747745953110608E-2</v>
      </c>
      <c r="BW22" s="242">
        <v>6.8434462749413696E-3</v>
      </c>
      <c r="BX22" s="242">
        <v>1.7241379310344827E-2</v>
      </c>
      <c r="BY22" s="243">
        <v>1.5384879115894487E-2</v>
      </c>
      <c r="BZ22" s="242">
        <v>3.520975268356473E-2</v>
      </c>
      <c r="CA22" s="242">
        <v>2.026211206553509E-2</v>
      </c>
      <c r="CB22" s="242">
        <v>2.2499999999999999E-2</v>
      </c>
      <c r="CC22" s="242">
        <v>2.5333333333333333E-2</v>
      </c>
      <c r="CD22" s="244"/>
      <c r="CE22" s="244"/>
      <c r="CF22" s="244"/>
      <c r="CG22" s="244"/>
      <c r="CH22" s="245">
        <f t="shared" si="1"/>
        <v>18639.586332146027</v>
      </c>
      <c r="CI22" s="245">
        <f t="shared" si="2"/>
        <v>1197.4125702355016</v>
      </c>
      <c r="CJ22" s="245">
        <f t="shared" si="3"/>
        <v>2306.93516020889</v>
      </c>
      <c r="CK22" s="245">
        <f t="shared" si="4"/>
        <v>3261.5610604494491</v>
      </c>
      <c r="CL22" s="245">
        <f t="shared" si="5"/>
        <v>5422.2319343127783</v>
      </c>
      <c r="CM22" s="245">
        <f t="shared" si="6"/>
        <v>3705.2927803970474</v>
      </c>
      <c r="CN22" s="245">
        <f t="shared" si="7"/>
        <v>1042.9713011487986</v>
      </c>
      <c r="CO22" s="156">
        <f t="shared" si="8"/>
        <v>35575.991138898491</v>
      </c>
      <c r="CS22" s="246" t="s">
        <v>4</v>
      </c>
      <c r="CT22" s="247">
        <f t="shared" si="9"/>
        <v>-5714.1963720388439</v>
      </c>
      <c r="CU22" s="247"/>
      <c r="CV22" s="247">
        <f t="shared" si="12"/>
        <v>37900</v>
      </c>
      <c r="CW22" s="247">
        <f t="shared" si="10"/>
        <v>35575.991138898491</v>
      </c>
      <c r="CX22" s="247"/>
      <c r="CY22" s="219">
        <f>SUM(CT22:CW22)</f>
        <v>67761.794766859646</v>
      </c>
      <c r="CZ22" s="221">
        <f t="shared" si="13"/>
        <v>2.248307087748334E-2</v>
      </c>
      <c r="DA22" s="248"/>
      <c r="DB22" s="247"/>
      <c r="DC22" s="247">
        <v>2084.2976182123243</v>
      </c>
      <c r="DD22" s="141"/>
      <c r="DE22" s="58"/>
      <c r="DF22" s="58"/>
      <c r="DG22" s="76"/>
      <c r="DH22" s="77"/>
      <c r="DI22" s="78"/>
      <c r="DJ22" s="68"/>
      <c r="DK22" s="4"/>
      <c r="DM22" s="57"/>
      <c r="DN22" s="57"/>
      <c r="DO22" s="20"/>
      <c r="DP22" s="57"/>
      <c r="DQ22" s="58"/>
      <c r="DR22" s="58"/>
      <c r="DS22" s="58"/>
      <c r="DT22" s="58"/>
      <c r="DU22" s="41"/>
      <c r="DV22" s="40"/>
      <c r="DW22" s="42"/>
      <c r="DX22" s="31"/>
      <c r="DY22" s="20"/>
      <c r="DZ22" s="4"/>
      <c r="EA22" s="43"/>
      <c r="EB22" s="4"/>
      <c r="EC22" s="4"/>
      <c r="ED22" s="14"/>
      <c r="EE22" s="4"/>
      <c r="EG22" s="4"/>
      <c r="EH22" s="4"/>
      <c r="EI22" s="4"/>
      <c r="EJ22" s="4"/>
      <c r="EL22" s="4"/>
      <c r="EM22" s="14"/>
      <c r="EQ22" s="14"/>
      <c r="ER22" s="14"/>
      <c r="ES22" s="14"/>
      <c r="EW22" s="14"/>
      <c r="EX22" s="4"/>
      <c r="EZ22" s="10"/>
    </row>
    <row r="23" spans="1:156" x14ac:dyDescent="0.25">
      <c r="A23" s="99" t="s">
        <v>27</v>
      </c>
      <c r="B23" s="101"/>
      <c r="C23" s="103">
        <f>SUM(C17:C22)</f>
        <v>2058495.989109471</v>
      </c>
      <c r="D23" s="101"/>
      <c r="E23" s="102"/>
      <c r="F23" s="3"/>
      <c r="I23" s="23"/>
      <c r="J23" s="14"/>
      <c r="L23" s="139" t="s">
        <v>5</v>
      </c>
      <c r="M23" s="238"/>
      <c r="N23" s="238"/>
      <c r="O23" s="238">
        <v>0</v>
      </c>
      <c r="P23" s="238"/>
      <c r="Q23" s="238"/>
      <c r="R23" s="238">
        <v>85</v>
      </c>
      <c r="S23" s="238"/>
      <c r="T23" s="238"/>
      <c r="U23" s="238"/>
      <c r="V23" s="238"/>
      <c r="W23" s="238"/>
      <c r="X23" s="238"/>
      <c r="Y23" s="238"/>
      <c r="Z23" s="238"/>
      <c r="AA23" s="238"/>
      <c r="AB23" s="238">
        <f>-Utvecklingsmedel!I15</f>
        <v>-3349.7715836680923</v>
      </c>
      <c r="AC23" s="258"/>
      <c r="AG23" s="92"/>
      <c r="AH23" s="139" t="s">
        <v>5</v>
      </c>
      <c r="AI23" s="238">
        <f>2280*1.0057*1.0276*1.0091*1.0182*1.0155*1.0184*1.0123</f>
        <v>2534.5580753222998</v>
      </c>
      <c r="AJ23" s="238"/>
      <c r="AK23" s="238">
        <f>339*1.006*1.0089*1.0057*1.0276*1.0091*1.0182*1.0155*1.0184*1.0123</f>
        <v>382.48393680681335</v>
      </c>
      <c r="AL23" s="238"/>
      <c r="AM23" s="238">
        <f>4648*1.006*1.0089*1.0057*1.0276*1.0091*1.0182*1.0155*1.0184*1.0123</f>
        <v>5244.2045376934157</v>
      </c>
      <c r="AN23" s="238">
        <f>1200*1.0057*1.0276*1.0091*1.0182*1.0155*1.0184*1.0123</f>
        <v>1333.9779343801579</v>
      </c>
      <c r="AO23" s="94"/>
      <c r="AP23" s="238">
        <f>840*1.0276*1.0091*1.0182*1.0155*1.0184*1.0123</f>
        <v>928.4921488178486</v>
      </c>
      <c r="AQ23" s="238">
        <f>1610*1.0276*1.0091*1.0182*1.0155*1.0184*1.0123</f>
        <v>1779.6099519008767</v>
      </c>
      <c r="AR23" s="238">
        <f>914*1.0276*1.0091*1.0182*1.0155*1.0184*1.0123</f>
        <v>1010.2878857375164</v>
      </c>
      <c r="AS23" s="238"/>
      <c r="AT23" s="258"/>
      <c r="AU23" s="22"/>
      <c r="AV23" s="80"/>
      <c r="AW23" s="80"/>
      <c r="AX23" s="80"/>
      <c r="AY23" s="139" t="s">
        <v>5</v>
      </c>
      <c r="AZ23" s="238"/>
      <c r="BA23" s="238">
        <v>3273.333333333333</v>
      </c>
      <c r="BB23" s="238">
        <f>2400*1.0123</f>
        <v>2429.52</v>
      </c>
      <c r="BC23" s="238">
        <f>1702*1.0123</f>
        <v>1722.9346</v>
      </c>
      <c r="BD23" s="238">
        <f>(-Djurfrågor!I15)*1.0123</f>
        <v>-994.68564041651473</v>
      </c>
      <c r="BE23" s="238"/>
      <c r="BF23" s="238">
        <v>1000</v>
      </c>
      <c r="BG23" s="238">
        <v>1000</v>
      </c>
      <c r="BH23" s="238">
        <v>-7426.6196562875202</v>
      </c>
      <c r="BI23" s="241">
        <v>4576.3999999999996</v>
      </c>
      <c r="BJ23" s="263">
        <f t="shared" si="0"/>
        <v>15529.725523620136</v>
      </c>
      <c r="BK23" s="18"/>
      <c r="BL23" s="18"/>
      <c r="BM23" s="18"/>
      <c r="BN23" s="18"/>
      <c r="BO23" s="18"/>
      <c r="BP23" s="3"/>
      <c r="BQ23" s="3"/>
      <c r="BR23" s="3"/>
      <c r="BS23" s="3"/>
      <c r="BT23" s="3"/>
      <c r="BU23" s="139" t="s">
        <v>5</v>
      </c>
      <c r="BV23" s="242">
        <v>0.13287122975913027</v>
      </c>
      <c r="BW23" s="242">
        <v>2.5234956002078628E-2</v>
      </c>
      <c r="BX23" s="242">
        <v>0.11379310344827587</v>
      </c>
      <c r="BY23" s="243">
        <v>3.9832257577114394E-2</v>
      </c>
      <c r="BZ23" s="242">
        <v>1.6828513868137367E-2</v>
      </c>
      <c r="CA23" s="242">
        <v>0.11490197794815836</v>
      </c>
      <c r="CB23" s="242">
        <v>0.125</v>
      </c>
      <c r="CC23" s="242">
        <v>0.13093333333333332</v>
      </c>
      <c r="CD23" s="244"/>
      <c r="CE23" s="244"/>
      <c r="CF23" s="244"/>
      <c r="CG23" s="244"/>
      <c r="CH23" s="245">
        <f t="shared" si="1"/>
        <v>157271.06377814725</v>
      </c>
      <c r="CI23" s="245">
        <f t="shared" si="2"/>
        <v>4415.4147358287901</v>
      </c>
      <c r="CJ23" s="245">
        <f t="shared" si="3"/>
        <v>15225.772057378674</v>
      </c>
      <c r="CK23" s="245">
        <f t="shared" si="4"/>
        <v>1558.8642735105245</v>
      </c>
      <c r="CL23" s="245">
        <f t="shared" si="5"/>
        <v>30748.283897113753</v>
      </c>
      <c r="CM23" s="245">
        <f t="shared" si="6"/>
        <v>20584.95989109471</v>
      </c>
      <c r="CN23" s="245">
        <f t="shared" si="7"/>
        <v>5390.5148301480003</v>
      </c>
      <c r="CO23" s="156">
        <f t="shared" si="8"/>
        <v>235194.87346322168</v>
      </c>
      <c r="CS23" s="246" t="s">
        <v>5</v>
      </c>
      <c r="CT23" s="247">
        <f t="shared" si="9"/>
        <v>15529.725523620136</v>
      </c>
      <c r="CU23" s="247">
        <f>3000</f>
        <v>3000</v>
      </c>
      <c r="CV23" s="247">
        <f t="shared" si="12"/>
        <v>37900</v>
      </c>
      <c r="CW23" s="247">
        <f t="shared" si="10"/>
        <v>235194.87346322168</v>
      </c>
      <c r="CX23" s="247"/>
      <c r="CY23" s="219">
        <f t="shared" si="14"/>
        <v>291624.5989868418</v>
      </c>
      <c r="CZ23" s="221">
        <f t="shared" si="13"/>
        <v>9.6759782576559997E-2</v>
      </c>
      <c r="DA23" s="248"/>
      <c r="DB23" s="247"/>
      <c r="DC23" s="247">
        <v>8446.284644250276</v>
      </c>
      <c r="DD23" s="141"/>
      <c r="DE23" s="58"/>
      <c r="DF23" s="58"/>
      <c r="DG23" s="76"/>
      <c r="DH23" s="77"/>
      <c r="DI23" s="78"/>
      <c r="DJ23" s="68"/>
      <c r="DK23" s="4"/>
      <c r="DM23" s="57"/>
      <c r="DN23" s="57"/>
      <c r="DO23" s="20"/>
      <c r="DP23" s="57"/>
      <c r="DQ23" s="58"/>
      <c r="DR23" s="58"/>
      <c r="DS23" s="58"/>
      <c r="DT23" s="58"/>
      <c r="DU23" s="41"/>
      <c r="DV23" s="40"/>
      <c r="DW23" s="42"/>
      <c r="DX23" s="47"/>
      <c r="DY23" s="21"/>
      <c r="DZ23" s="4"/>
      <c r="EA23" s="43"/>
      <c r="EB23" s="4"/>
      <c r="EC23" s="4"/>
      <c r="ED23" s="14"/>
      <c r="EE23" s="4"/>
      <c r="EG23" s="4"/>
      <c r="EH23" s="4"/>
      <c r="EI23" s="4"/>
      <c r="EJ23" s="4"/>
      <c r="EL23" s="4"/>
      <c r="EM23" s="14"/>
      <c r="EQ23" s="14"/>
      <c r="ER23" s="14"/>
      <c r="ES23" s="14"/>
      <c r="EW23" s="14"/>
      <c r="EX23" s="4"/>
      <c r="EZ23" s="10"/>
    </row>
    <row r="24" spans="1:156" x14ac:dyDescent="0.25">
      <c r="A24" s="99"/>
      <c r="B24" s="101"/>
      <c r="C24" s="101"/>
      <c r="D24" s="101"/>
      <c r="E24" s="102"/>
      <c r="F24" s="3"/>
      <c r="I24" s="23"/>
      <c r="J24" s="14"/>
      <c r="L24" s="139" t="s">
        <v>14</v>
      </c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>
        <f>-Utvecklingsmedel!I16</f>
        <v>-933.98619325462494</v>
      </c>
      <c r="AC24" s="258"/>
      <c r="AG24" s="92"/>
      <c r="AH24" s="139" t="s">
        <v>14</v>
      </c>
      <c r="AI24" s="238"/>
      <c r="AJ24" s="238"/>
      <c r="AK24" s="238">
        <f>-203*1.006*1.0089*1.0057*1.0276*1.0091*1.0182*1.0155*1.0184*1.0123</f>
        <v>-229.03905360407992</v>
      </c>
      <c r="AL24" s="238"/>
      <c r="AM24" s="238"/>
      <c r="AN24" s="238"/>
      <c r="AO24" s="94"/>
      <c r="AP24" s="238">
        <f>840*1.0276*1.0091*1.0182*1.0155*1.0184*1.0123</f>
        <v>928.4921488178486</v>
      </c>
      <c r="AQ24" s="238"/>
      <c r="AR24" s="238">
        <f>-645*1.0276*1.0091*1.0182*1.0155*1.0184*1.0123</f>
        <v>-712.94932855656236</v>
      </c>
      <c r="AS24" s="238"/>
      <c r="AT24" s="258"/>
      <c r="AU24" s="22"/>
      <c r="AV24" s="80"/>
      <c r="AW24" s="80"/>
      <c r="AX24" s="80"/>
      <c r="AY24" s="139" t="s">
        <v>14</v>
      </c>
      <c r="AZ24" s="238"/>
      <c r="BA24" s="238">
        <v>1299.1666666666667</v>
      </c>
      <c r="BB24" s="238">
        <f>1600*1.0123</f>
        <v>1619.68</v>
      </c>
      <c r="BC24" s="238">
        <f>320*1.0123</f>
        <v>323.93599999999998</v>
      </c>
      <c r="BD24" s="238">
        <f>(-Djurfrågor!I16)*1.0123</f>
        <v>-277.33910553995264</v>
      </c>
      <c r="BE24" s="238"/>
      <c r="BF24" s="238"/>
      <c r="BG24" s="238"/>
      <c r="BH24" s="238">
        <v>-1994.31028028531</v>
      </c>
      <c r="BI24" s="241">
        <v>1652.4</v>
      </c>
      <c r="BJ24" s="263">
        <f t="shared" si="0"/>
        <v>1676.0508542439859</v>
      </c>
      <c r="BK24" s="18"/>
      <c r="BL24" s="18"/>
      <c r="BM24" s="18"/>
      <c r="BN24" s="18"/>
      <c r="BO24" s="18"/>
      <c r="BP24" s="3"/>
      <c r="BQ24" s="3"/>
      <c r="BR24" s="3"/>
      <c r="BS24" s="3"/>
      <c r="BT24" s="3"/>
      <c r="BU24" s="139" t="s">
        <v>14</v>
      </c>
      <c r="BV24" s="242">
        <v>3.2096564489268141E-2</v>
      </c>
      <c r="BW24" s="242">
        <v>1.2711771610681148E-2</v>
      </c>
      <c r="BX24" s="242">
        <v>2.0689655172413793E-2</v>
      </c>
      <c r="BY24" s="243">
        <v>2.69264439203722E-2</v>
      </c>
      <c r="BZ24" s="242">
        <v>1.0005668120136009E-2</v>
      </c>
      <c r="CA24" s="242">
        <v>3.1932734358388545E-2</v>
      </c>
      <c r="CB24" s="242">
        <v>5.1999999999999998E-2</v>
      </c>
      <c r="CC24" s="242">
        <v>5.1966666666666668E-2</v>
      </c>
      <c r="CD24" s="244"/>
      <c r="CE24" s="244"/>
      <c r="CF24" s="244"/>
      <c r="CG24" s="244"/>
      <c r="CH24" s="245">
        <f t="shared" si="1"/>
        <v>37990.623327577363</v>
      </c>
      <c r="CI24" s="245">
        <f t="shared" si="2"/>
        <v>2224.2061243803364</v>
      </c>
      <c r="CJ24" s="245">
        <f t="shared" si="3"/>
        <v>2768.3221922506677</v>
      </c>
      <c r="CK24" s="245">
        <f t="shared" si="4"/>
        <v>926.84824621472137</v>
      </c>
      <c r="CL24" s="245">
        <f t="shared" si="5"/>
        <v>8545.342727745332</v>
      </c>
      <c r="CM24" s="245">
        <f t="shared" si="6"/>
        <v>8563.3433146953994</v>
      </c>
      <c r="CN24" s="245">
        <f t="shared" si="7"/>
        <v>2139.4634980144438</v>
      </c>
      <c r="CO24" s="156">
        <f t="shared" si="8"/>
        <v>63158.149430878271</v>
      </c>
      <c r="CS24" s="246" t="s">
        <v>14</v>
      </c>
      <c r="CT24" s="247">
        <f t="shared" si="9"/>
        <v>1676.0508542439859</v>
      </c>
      <c r="CU24" s="247"/>
      <c r="CV24" s="247">
        <f t="shared" si="12"/>
        <v>37900</v>
      </c>
      <c r="CW24" s="247">
        <f t="shared" si="10"/>
        <v>63158.149430878271</v>
      </c>
      <c r="CX24" s="247"/>
      <c r="CY24" s="219">
        <f t="shared" si="14"/>
        <v>102734.20028512226</v>
      </c>
      <c r="CZ24" s="221">
        <f t="shared" si="13"/>
        <v>3.4086764001735388E-2</v>
      </c>
      <c r="DA24" s="248"/>
      <c r="DB24" s="247"/>
      <c r="DC24" s="247">
        <v>3056.0039907234377</v>
      </c>
      <c r="DD24" s="141"/>
      <c r="DE24" s="58"/>
      <c r="DF24" s="58"/>
      <c r="DG24" s="76"/>
      <c r="DH24" s="77"/>
      <c r="DI24" s="78"/>
      <c r="DJ24" s="68"/>
      <c r="DK24" s="4"/>
      <c r="DM24" s="57"/>
      <c r="DN24" s="57"/>
      <c r="DO24" s="20"/>
      <c r="DP24" s="57"/>
      <c r="DQ24" s="58"/>
      <c r="DR24" s="58"/>
      <c r="DS24" s="58"/>
      <c r="DT24" s="58"/>
      <c r="DU24" s="41"/>
      <c r="DV24" s="40"/>
      <c r="DW24" s="42"/>
      <c r="DX24" s="47"/>
      <c r="DY24" s="21"/>
      <c r="DZ24" s="4"/>
      <c r="EA24" s="44"/>
      <c r="EB24" s="4"/>
      <c r="EC24" s="4"/>
      <c r="ED24" s="14"/>
      <c r="EE24" s="4"/>
      <c r="EG24" s="4"/>
      <c r="EH24" s="4"/>
      <c r="EI24" s="4"/>
      <c r="EJ24" s="4"/>
      <c r="EL24" s="4"/>
      <c r="EM24" s="14"/>
      <c r="EQ24" s="14"/>
      <c r="ER24" s="14"/>
      <c r="ES24" s="14"/>
      <c r="EW24" s="14"/>
      <c r="EX24" s="4"/>
      <c r="EZ24" s="10"/>
    </row>
    <row r="25" spans="1:156" x14ac:dyDescent="0.25">
      <c r="A25" s="99"/>
      <c r="B25" s="101"/>
      <c r="C25" s="103"/>
      <c r="D25" s="104"/>
      <c r="E25" s="102"/>
      <c r="F25" s="3"/>
      <c r="I25" s="23"/>
      <c r="J25" s="14"/>
      <c r="L25" s="139" t="s">
        <v>15</v>
      </c>
      <c r="M25" s="238"/>
      <c r="N25" s="238">
        <f>814.086210542326*1.0362*1.006*1.0089*1.0057*1.0276*1.0091*1.0182*1.0155*1.0184*1.0123</f>
        <v>951.76008861832474</v>
      </c>
      <c r="O25" s="238">
        <v>0</v>
      </c>
      <c r="P25" s="238"/>
      <c r="Q25" s="238">
        <f>90.3209006921074*1.0362*1.006*1.0089*1.0057*1.0276*1.0091*1.0182*1.0155*1.0184*1.0123</f>
        <v>105.59548526137038</v>
      </c>
      <c r="R25" s="238"/>
      <c r="S25" s="238">
        <v>3000</v>
      </c>
      <c r="T25" s="238">
        <f>806.108818303748*1.0362*1.006*1.0089*1.0057*1.0276*1.0091*1.0182*1.0155*1.0184*1.0123</f>
        <v>942.4336027429847</v>
      </c>
      <c r="U25" s="238"/>
      <c r="V25" s="238"/>
      <c r="W25" s="238"/>
      <c r="X25" s="238"/>
      <c r="Y25" s="238">
        <v>-1160</v>
      </c>
      <c r="Z25" s="238">
        <v>-482</v>
      </c>
      <c r="AA25" s="238"/>
      <c r="AB25" s="238">
        <f>-Utvecklingsmedel!I17</f>
        <v>-4517.0859625492176</v>
      </c>
      <c r="AC25" s="258"/>
      <c r="AG25" s="92"/>
      <c r="AH25" s="139" t="s">
        <v>15</v>
      </c>
      <c r="AI25" s="238">
        <f>2280*1.0057*1.0276*1.0091*1.0182*1.0155*1.0184*1.0123</f>
        <v>2534.5580753222998</v>
      </c>
      <c r="AJ25" s="238"/>
      <c r="AK25" s="238">
        <f>303*1.006*1.0089*1.0057*1.0276*1.0091*1.0182*1.0155*1.0184*1.0123</f>
        <v>341.86617360608972</v>
      </c>
      <c r="AL25" s="238"/>
      <c r="AM25" s="238"/>
      <c r="AN25" s="238">
        <f>1200*1.0057*1.0276*1.0091*1.0182*1.0155*1.0184*1.0123</f>
        <v>1333.9779343801579</v>
      </c>
      <c r="AO25" s="94"/>
      <c r="AP25" s="238">
        <f>(1680+720)*1.0276*1.0091*1.0182*1.0155*1.0184*1.0123</f>
        <v>2652.8347109081392</v>
      </c>
      <c r="AQ25" s="238"/>
      <c r="AR25" s="238">
        <f>645*1.0276*1.0091*1.0182*1.0155*1.0184*1.0123</f>
        <v>712.94932855656236</v>
      </c>
      <c r="AS25" s="238">
        <f>2030*1.0276*1.0091*1.0182*1.0155*1.0184*1.0123</f>
        <v>2243.8560263098011</v>
      </c>
      <c r="AT25" s="258"/>
      <c r="AU25" s="22"/>
      <c r="AV25" s="80"/>
      <c r="AW25" s="80"/>
      <c r="AX25" s="80"/>
      <c r="AY25" s="139" t="s">
        <v>15</v>
      </c>
      <c r="AZ25" s="238"/>
      <c r="BA25" s="238">
        <v>4470.833333333333</v>
      </c>
      <c r="BB25" s="238">
        <f>2400*1.0123</f>
        <v>2429.52</v>
      </c>
      <c r="BC25" s="238">
        <f>2140*1.0123</f>
        <v>2166.3220000000001</v>
      </c>
      <c r="BD25" s="238">
        <f>(-Djurfrågor!I17)*1.0123</f>
        <v>-1341.3095285006482</v>
      </c>
      <c r="BE25" s="238"/>
      <c r="BF25" s="238">
        <v>1000</v>
      </c>
      <c r="BG25" s="238">
        <v>1000</v>
      </c>
      <c r="BH25" s="238">
        <v>-9962.6217148916094</v>
      </c>
      <c r="BI25" s="241">
        <v>6159.1</v>
      </c>
      <c r="BJ25" s="263">
        <f t="shared" si="0"/>
        <v>14582.589553097587</v>
      </c>
      <c r="BK25" s="18"/>
      <c r="BL25" s="18"/>
      <c r="BM25" s="18"/>
      <c r="BN25" s="18"/>
      <c r="BO25" s="18"/>
      <c r="BP25" s="3"/>
      <c r="BQ25" s="3"/>
      <c r="BR25" s="3"/>
      <c r="BS25" s="3"/>
      <c r="BT25" s="3"/>
      <c r="BU25" s="139" t="s">
        <v>15</v>
      </c>
      <c r="BV25" s="242">
        <v>0.16706932502206964</v>
      </c>
      <c r="BW25" s="242">
        <v>6.4415568916747754E-2</v>
      </c>
      <c r="BX25" s="242">
        <v>0.16896551724137931</v>
      </c>
      <c r="BY25" s="243">
        <v>7.2167687816114462E-2</v>
      </c>
      <c r="BZ25" s="242">
        <v>6.119459588413588E-2</v>
      </c>
      <c r="CA25" s="242">
        <v>0.14345950737129765</v>
      </c>
      <c r="CB25" s="242">
        <v>0.1971</v>
      </c>
      <c r="CC25" s="242">
        <v>0.17883333333333332</v>
      </c>
      <c r="CD25" s="244"/>
      <c r="CE25" s="244"/>
      <c r="CF25" s="244"/>
      <c r="CG25" s="244"/>
      <c r="CH25" s="245">
        <f t="shared" si="1"/>
        <v>197749.13289016523</v>
      </c>
      <c r="CI25" s="245">
        <f t="shared" si="2"/>
        <v>11270.931171363047</v>
      </c>
      <c r="CJ25" s="245">
        <f t="shared" si="3"/>
        <v>22607.964570047123</v>
      </c>
      <c r="CK25" s="245">
        <f t="shared" si="4"/>
        <v>5668.5973582200895</v>
      </c>
      <c r="CL25" s="245">
        <f t="shared" si="5"/>
        <v>38390.40666804678</v>
      </c>
      <c r="CM25" s="245">
        <f t="shared" si="6"/>
        <v>32458.364756278137</v>
      </c>
      <c r="CN25" s="245">
        <f t="shared" si="7"/>
        <v>7362.553987714874</v>
      </c>
      <c r="CO25" s="156">
        <f t="shared" si="8"/>
        <v>315507.95140183525</v>
      </c>
      <c r="CS25" s="246" t="s">
        <v>15</v>
      </c>
      <c r="CT25" s="247">
        <f t="shared" si="9"/>
        <v>14582.589553097587</v>
      </c>
      <c r="CU25" s="247">
        <f>15000</f>
        <v>15000</v>
      </c>
      <c r="CV25" s="247">
        <f t="shared" si="12"/>
        <v>37900</v>
      </c>
      <c r="CW25" s="247">
        <f t="shared" si="10"/>
        <v>315507.95140183525</v>
      </c>
      <c r="CX25" s="247"/>
      <c r="CY25" s="219">
        <f>SUM(CT25:CW25)</f>
        <v>382990.5409549328</v>
      </c>
      <c r="CZ25" s="221">
        <f t="shared" si="13"/>
        <v>0.12707460756199948</v>
      </c>
      <c r="DA25" s="248"/>
      <c r="DB25" s="247"/>
      <c r="DC25" s="247">
        <v>11151.709115757418</v>
      </c>
      <c r="DD25" s="141"/>
      <c r="DE25" s="58"/>
      <c r="DF25" s="58"/>
      <c r="DG25" s="76"/>
      <c r="DH25" s="77"/>
      <c r="DI25" s="78"/>
      <c r="DJ25" s="68"/>
      <c r="DK25" s="4"/>
      <c r="DM25" s="57"/>
      <c r="DN25" s="57"/>
      <c r="DO25" s="20"/>
      <c r="DP25" s="57"/>
      <c r="DQ25" s="58"/>
      <c r="DR25" s="58"/>
      <c r="DS25" s="58"/>
      <c r="DT25" s="58"/>
      <c r="DU25" s="41"/>
      <c r="DV25" s="40"/>
      <c r="DW25" s="42"/>
      <c r="DX25" s="31"/>
      <c r="DY25" s="20"/>
      <c r="DZ25" s="4"/>
      <c r="EA25" s="44"/>
      <c r="EB25" s="4"/>
      <c r="EC25" s="4"/>
      <c r="ED25" s="14"/>
      <c r="EE25" s="4"/>
      <c r="EG25" s="4"/>
      <c r="EH25" s="4"/>
      <c r="EI25" s="4"/>
      <c r="EJ25" s="4"/>
      <c r="EL25" s="4"/>
      <c r="EM25" s="14"/>
      <c r="EQ25" s="14"/>
      <c r="ER25" s="14"/>
      <c r="ES25" s="14"/>
      <c r="EW25" s="14"/>
      <c r="EX25" s="4"/>
      <c r="EZ25" s="10"/>
    </row>
    <row r="26" spans="1:156" ht="16.5" thickBot="1" x14ac:dyDescent="0.3">
      <c r="A26" s="105" t="s">
        <v>79</v>
      </c>
      <c r="B26" s="106"/>
      <c r="C26" s="107">
        <f>C23*D26</f>
        <v>2058495.989109471</v>
      </c>
      <c r="D26" s="108">
        <v>1</v>
      </c>
      <c r="E26" s="109"/>
      <c r="F26" s="3"/>
      <c r="I26" s="23"/>
      <c r="J26" s="14"/>
      <c r="L26" s="139" t="s">
        <v>16</v>
      </c>
      <c r="M26" s="238"/>
      <c r="N26" s="238"/>
      <c r="O26" s="238"/>
      <c r="P26" s="238"/>
      <c r="Q26" s="238">
        <f>184.842773509429*1.0362*1.006*1.0089*1.0057*1.0276*1.0091*1.0182*1.0155*1.0184*1.0123</f>
        <v>216.10238844187418</v>
      </c>
      <c r="R26" s="238"/>
      <c r="S26" s="238"/>
      <c r="T26" s="238">
        <f>1083.20872459566*1.0362*1.006*1.0089*1.0057*1.0276*1.0091*1.0182*1.0155*1.0184*1.0123</f>
        <v>1266.3951536858845</v>
      </c>
      <c r="U26" s="238"/>
      <c r="V26" s="238"/>
      <c r="W26" s="238"/>
      <c r="X26" s="238"/>
      <c r="Y26" s="238"/>
      <c r="Z26" s="238"/>
      <c r="AA26" s="238"/>
      <c r="AB26" s="238">
        <f>-Utvecklingsmedel!I18</f>
        <v>-1145.5922524995824</v>
      </c>
      <c r="AC26" s="258"/>
      <c r="AG26" s="92"/>
      <c r="AH26" s="139" t="s">
        <v>16</v>
      </c>
      <c r="AI26" s="238"/>
      <c r="AJ26" s="238"/>
      <c r="AK26" s="238">
        <f>-649*1.006*1.0089*1.0057*1.0276*1.0091*1.0182*1.0155*1.0184*1.0123</f>
        <v>-732.24800881304395</v>
      </c>
      <c r="AL26" s="238"/>
      <c r="AM26" s="238"/>
      <c r="AN26" s="238"/>
      <c r="AO26" s="94"/>
      <c r="AP26" s="238"/>
      <c r="AQ26" s="238">
        <f>-1493*1.0276*1.0091*1.0182*1.0155*1.0184*1.0123</f>
        <v>-1650.2842597441047</v>
      </c>
      <c r="AR26" s="238">
        <f>-872*1.0276*1.0091*1.0182*1.0155*1.0184*1.0123</f>
        <v>-963.863278296624</v>
      </c>
      <c r="AS26" s="238"/>
      <c r="AT26" s="258"/>
      <c r="AU26" s="22"/>
      <c r="AV26" s="80"/>
      <c r="AW26" s="80"/>
      <c r="AX26" s="80"/>
      <c r="AY26" s="139" t="s">
        <v>16</v>
      </c>
      <c r="AZ26" s="238"/>
      <c r="BA26" s="238">
        <v>951.66666666666663</v>
      </c>
      <c r="BB26" s="238">
        <f t="shared" ref="BB26:BB34" si="15">1600*1.0123</f>
        <v>1619.68</v>
      </c>
      <c r="BC26" s="238">
        <f>489*1.0123</f>
        <v>495.0147</v>
      </c>
      <c r="BD26" s="238">
        <f>(-Djurfrågor!I18)*1.0123</f>
        <v>-340.17369091356261</v>
      </c>
      <c r="BE26" s="238"/>
      <c r="BF26" s="238"/>
      <c r="BG26" s="238"/>
      <c r="BH26" s="238">
        <v>-2464.9816136101299</v>
      </c>
      <c r="BI26" s="241">
        <v>1246.0999999999999</v>
      </c>
      <c r="BJ26" s="263">
        <f t="shared" si="0"/>
        <v>-1502.1841950826224</v>
      </c>
      <c r="BK26" s="18"/>
      <c r="BL26" s="18"/>
      <c r="BM26" s="18"/>
      <c r="BN26" s="18"/>
      <c r="BO26" s="18"/>
      <c r="BP26" s="3"/>
      <c r="BQ26" s="3"/>
      <c r="BR26" s="3"/>
      <c r="BS26" s="3"/>
      <c r="BT26" s="3"/>
      <c r="BU26" s="139" t="s">
        <v>16</v>
      </c>
      <c r="BV26" s="242">
        <v>2.7706748514511808E-2</v>
      </c>
      <c r="BW26" s="242">
        <v>4.8594236111375873E-2</v>
      </c>
      <c r="BX26" s="242">
        <v>5.5172413793103448E-2</v>
      </c>
      <c r="BY26" s="243">
        <v>2.687122043915826E-2</v>
      </c>
      <c r="BZ26" s="242">
        <v>6.5590759381559435E-2</v>
      </c>
      <c r="CA26" s="242">
        <v>5.2013686062877457E-2</v>
      </c>
      <c r="CB26" s="242">
        <v>4.7500000000000001E-2</v>
      </c>
      <c r="CC26" s="242">
        <v>3.8066666666666665E-2</v>
      </c>
      <c r="CD26" s="244"/>
      <c r="CE26" s="244"/>
      <c r="CF26" s="244"/>
      <c r="CG26" s="244"/>
      <c r="CH26" s="245">
        <f t="shared" si="1"/>
        <v>32794.682645822722</v>
      </c>
      <c r="CI26" s="245">
        <f t="shared" si="2"/>
        <v>8502.6384109739975</v>
      </c>
      <c r="CJ26" s="245">
        <f t="shared" si="3"/>
        <v>7382.1925126684473</v>
      </c>
      <c r="CK26" s="245">
        <f t="shared" si="4"/>
        <v>6075.8241799313028</v>
      </c>
      <c r="CL26" s="245">
        <f t="shared" si="5"/>
        <v>13919.095338100216</v>
      </c>
      <c r="CM26" s="245">
        <f t="shared" si="6"/>
        <v>7822.2847586159896</v>
      </c>
      <c r="CN26" s="245">
        <f t="shared" si="7"/>
        <v>1567.2016130420104</v>
      </c>
      <c r="CO26" s="156">
        <f t="shared" si="8"/>
        <v>78063.919459154684</v>
      </c>
      <c r="CS26" s="246" t="s">
        <v>16</v>
      </c>
      <c r="CT26" s="247">
        <f t="shared" si="9"/>
        <v>-1502.1841950826224</v>
      </c>
      <c r="CU26" s="247"/>
      <c r="CV26" s="247">
        <f t="shared" si="12"/>
        <v>37900</v>
      </c>
      <c r="CW26" s="247">
        <f t="shared" si="10"/>
        <v>78063.919459154684</v>
      </c>
      <c r="CX26" s="247"/>
      <c r="CY26" s="219">
        <f>SUM(CT26:CW26)</f>
        <v>114461.73526407206</v>
      </c>
      <c r="CZ26" s="221">
        <f t="shared" si="13"/>
        <v>3.7977909462936298E-2</v>
      </c>
      <c r="DA26" s="248"/>
      <c r="DB26" s="247"/>
      <c r="DC26" s="247">
        <v>3412.1941935156574</v>
      </c>
      <c r="DD26" s="141"/>
      <c r="DE26" s="58"/>
      <c r="DF26" s="58"/>
      <c r="DG26" s="76"/>
      <c r="DH26" s="77"/>
      <c r="DI26" s="78"/>
      <c r="DJ26" s="68"/>
      <c r="DK26" s="4"/>
      <c r="DM26" s="57"/>
      <c r="DN26" s="57"/>
      <c r="DO26" s="20"/>
      <c r="DP26" s="57"/>
      <c r="DQ26" s="58"/>
      <c r="DR26" s="58"/>
      <c r="DS26" s="58"/>
      <c r="DT26" s="58"/>
      <c r="DU26" s="41"/>
      <c r="DV26" s="40"/>
      <c r="DW26" s="42"/>
      <c r="DX26" s="31"/>
      <c r="DY26" s="20"/>
      <c r="DZ26" s="4"/>
      <c r="EA26" s="43"/>
      <c r="EB26" s="4"/>
      <c r="EC26" s="4"/>
      <c r="ED26" s="14"/>
      <c r="EE26" s="4"/>
      <c r="EG26" s="4"/>
      <c r="EH26" s="4"/>
      <c r="EI26" s="4"/>
      <c r="EJ26" s="4"/>
      <c r="EL26" s="4"/>
      <c r="EM26" s="14"/>
      <c r="EQ26" s="14"/>
      <c r="ER26" s="14"/>
      <c r="ES26" s="14"/>
      <c r="EW26" s="14"/>
      <c r="EX26" s="4"/>
      <c r="EZ26" s="10"/>
    </row>
    <row r="27" spans="1:156" x14ac:dyDescent="0.25">
      <c r="A27" s="101"/>
      <c r="B27" s="101"/>
      <c r="C27" s="101"/>
      <c r="D27" s="101"/>
      <c r="E27" s="101"/>
      <c r="F27" s="3"/>
      <c r="I27" s="23"/>
      <c r="J27" s="14"/>
      <c r="L27" s="139" t="s">
        <v>17</v>
      </c>
      <c r="M27" s="238"/>
      <c r="N27" s="238"/>
      <c r="O27" s="238"/>
      <c r="P27" s="238"/>
      <c r="Q27" s="238">
        <f>96.6223588799288*1.0362*1.006*1.0089*1.0057*1.0276*1.0091*1.0182*1.0155*1.0184*1.0123</f>
        <v>112.96261214007056</v>
      </c>
      <c r="R27" s="238"/>
      <c r="S27" s="238"/>
      <c r="T27" s="238">
        <f>1083.20872459566*1.0362*1.006*1.0089*1.0057*1.0276*1.0091*1.0182*1.0155*1.0184*1.0123</f>
        <v>1266.3951536858845</v>
      </c>
      <c r="U27" s="238"/>
      <c r="V27" s="238"/>
      <c r="W27" s="238"/>
      <c r="X27" s="238"/>
      <c r="Y27" s="238"/>
      <c r="Z27" s="238"/>
      <c r="AA27" s="238"/>
      <c r="AB27" s="238">
        <f>-Utvecklingsmedel!I19</f>
        <v>-942.91877175873822</v>
      </c>
      <c r="AC27" s="258"/>
      <c r="AG27" s="92"/>
      <c r="AH27" s="139" t="s">
        <v>17</v>
      </c>
      <c r="AI27" s="238"/>
      <c r="AJ27" s="238">
        <f>(700*1.006*1.0089*1.0057*1.0276*1.0091*1.0182*1.0155)+200*1.0155*1.0184*1.0123</f>
        <v>975.47840626219568</v>
      </c>
      <c r="AK27" s="238">
        <f>-147*1.006*1.0089*1.0057*1.0276*1.0091*1.0182*1.0155*1.0184*1.0123</f>
        <v>-165.85586640295443</v>
      </c>
      <c r="AL27" s="238"/>
      <c r="AM27" s="238"/>
      <c r="AN27" s="238"/>
      <c r="AO27" s="94"/>
      <c r="AP27" s="238"/>
      <c r="AQ27" s="240">
        <f>1493*1.0276*1.0091*1.0182*1.0155*1.0184*1.0123</f>
        <v>1650.2842597441047</v>
      </c>
      <c r="AR27" s="238">
        <f>-601*1.0276*1.0091*1.0182*1.0155*1.0184*1.0123</f>
        <v>-664.3140255232463</v>
      </c>
      <c r="AS27" s="238"/>
      <c r="AT27" s="258"/>
      <c r="AU27" s="22"/>
      <c r="AV27" s="80"/>
      <c r="AW27" s="80"/>
      <c r="AX27" s="80"/>
      <c r="AY27" s="139" t="s">
        <v>17</v>
      </c>
      <c r="AZ27" s="238"/>
      <c r="BA27" s="238">
        <v>751.66666666666674</v>
      </c>
      <c r="BB27" s="238">
        <f t="shared" si="15"/>
        <v>1619.68</v>
      </c>
      <c r="BC27" s="238">
        <f>(977+500)*1.0123</f>
        <v>1495.1670999999999</v>
      </c>
      <c r="BD27" s="238">
        <f>(-Djurfrågor!I19)*1.0123</f>
        <v>-279.99155731106868</v>
      </c>
      <c r="BE27" s="238">
        <f>8800*1.0123</f>
        <v>8908.24</v>
      </c>
      <c r="BF27" s="238"/>
      <c r="BG27" s="238"/>
      <c r="BH27" s="238">
        <v>-2036.2635733853299</v>
      </c>
      <c r="BI27" s="241">
        <v>987.7</v>
      </c>
      <c r="BJ27" s="263">
        <f t="shared" si="0"/>
        <v>13678.230404117587</v>
      </c>
      <c r="BK27" s="18"/>
      <c r="BL27" s="18"/>
      <c r="BM27" s="18"/>
      <c r="BN27" s="18"/>
      <c r="BO27" s="18"/>
      <c r="BP27" s="3"/>
      <c r="BQ27" s="3"/>
      <c r="BR27" s="3"/>
      <c r="BS27" s="3"/>
      <c r="BT27" s="3"/>
      <c r="BU27" s="139" t="s">
        <v>17</v>
      </c>
      <c r="BV27" s="242">
        <v>2.9535558537038938E-2</v>
      </c>
      <c r="BW27" s="242">
        <v>2.1467644790342348E-2</v>
      </c>
      <c r="BX27" s="242">
        <v>4.1379310344827586E-2</v>
      </c>
      <c r="BY27" s="243">
        <v>2.2093875704667101E-2</v>
      </c>
      <c r="BZ27" s="242">
        <v>3.6884690976083108E-2</v>
      </c>
      <c r="CA27" s="242">
        <v>3.9512587173758079E-2</v>
      </c>
      <c r="CB27" s="242">
        <v>3.04E-2</v>
      </c>
      <c r="CC27" s="242">
        <v>3.0066666666666669E-2</v>
      </c>
      <c r="CD27" s="244"/>
      <c r="CE27" s="244"/>
      <c r="CF27" s="244"/>
      <c r="CG27" s="244"/>
      <c r="CH27" s="245">
        <f t="shared" si="1"/>
        <v>34959.326551146522</v>
      </c>
      <c r="CI27" s="245">
        <f t="shared" si="2"/>
        <v>3756.2401592064571</v>
      </c>
      <c r="CJ27" s="245">
        <f t="shared" si="3"/>
        <v>5536.6443845013355</v>
      </c>
      <c r="CK27" s="245">
        <f t="shared" si="4"/>
        <v>3416.7144795214217</v>
      </c>
      <c r="CL27" s="245">
        <f t="shared" si="5"/>
        <v>10573.745288147513</v>
      </c>
      <c r="CM27" s="245">
        <f t="shared" si="6"/>
        <v>5006.2622455142337</v>
      </c>
      <c r="CN27" s="245">
        <f t="shared" si="7"/>
        <v>1237.8422547844953</v>
      </c>
      <c r="CO27" s="156">
        <f t="shared" si="8"/>
        <v>64486.775362821973</v>
      </c>
      <c r="CS27" s="246" t="s">
        <v>17</v>
      </c>
      <c r="CT27" s="247">
        <f t="shared" si="9"/>
        <v>13678.230404117587</v>
      </c>
      <c r="CU27" s="247"/>
      <c r="CV27" s="247">
        <f t="shared" si="12"/>
        <v>37900</v>
      </c>
      <c r="CW27" s="247">
        <f t="shared" si="10"/>
        <v>64486.775362821973</v>
      </c>
      <c r="CX27" s="247"/>
      <c r="CY27" s="219">
        <f t="shared" si="14"/>
        <v>116065.00576693956</v>
      </c>
      <c r="CZ27" s="221">
        <f t="shared" si="13"/>
        <v>3.85098676921386E-2</v>
      </c>
      <c r="DA27" s="248"/>
      <c r="DB27" s="247"/>
      <c r="DC27" s="247">
        <v>3450.6362750565795</v>
      </c>
      <c r="DD27" s="141"/>
      <c r="DE27" s="58"/>
      <c r="DF27" s="58"/>
      <c r="DG27" s="76"/>
      <c r="DH27" s="77"/>
      <c r="DI27" s="78"/>
      <c r="DJ27" s="68"/>
      <c r="DK27" s="4"/>
      <c r="DM27" s="57"/>
      <c r="DN27" s="57"/>
      <c r="DO27" s="20"/>
      <c r="DP27" s="57"/>
      <c r="DQ27" s="58"/>
      <c r="DR27" s="58"/>
      <c r="DS27" s="58"/>
      <c r="DT27" s="58"/>
      <c r="DU27" s="41"/>
      <c r="DV27" s="40"/>
      <c r="DW27" s="42"/>
      <c r="DX27" s="31"/>
      <c r="DY27" s="20"/>
      <c r="DZ27" s="4"/>
      <c r="EA27" s="43"/>
      <c r="EB27" s="4"/>
      <c r="EC27" s="4"/>
      <c r="ED27" s="14"/>
      <c r="EE27" s="4"/>
      <c r="EG27" s="4"/>
      <c r="EH27" s="4"/>
      <c r="EI27" s="4"/>
      <c r="EJ27" s="4"/>
      <c r="EL27" s="4"/>
      <c r="EM27" s="14"/>
      <c r="EQ27" s="14"/>
      <c r="ER27" s="14"/>
      <c r="ES27" s="14"/>
      <c r="EW27" s="14"/>
      <c r="EX27" s="4"/>
      <c r="EZ27" s="10"/>
    </row>
    <row r="28" spans="1:156" x14ac:dyDescent="0.25">
      <c r="A28" s="98" t="s">
        <v>149</v>
      </c>
      <c r="B28" s="98"/>
      <c r="C28" s="98"/>
      <c r="D28" s="98"/>
      <c r="E28" s="98"/>
      <c r="I28" s="23"/>
      <c r="J28" s="14"/>
      <c r="L28" s="139" t="s">
        <v>18</v>
      </c>
      <c r="M28" s="238"/>
      <c r="N28" s="238"/>
      <c r="O28" s="238"/>
      <c r="P28" s="238"/>
      <c r="Q28" s="238"/>
      <c r="R28" s="238"/>
      <c r="S28" s="238"/>
      <c r="T28" s="238">
        <f>806.108818303748*1.0362*1.006*1.0089*1.0057*1.0276*1.0091*1.0182*1.0155*1.0184*1.0123</f>
        <v>942.4336027429847</v>
      </c>
      <c r="U28" s="238"/>
      <c r="V28" s="238"/>
      <c r="W28" s="238"/>
      <c r="X28" s="238"/>
      <c r="Y28" s="238"/>
      <c r="Z28" s="238"/>
      <c r="AA28" s="238"/>
      <c r="AB28" s="238">
        <f>-Utvecklingsmedel!I20</f>
        <v>-802.33381496306765</v>
      </c>
      <c r="AC28" s="258">
        <v>30000</v>
      </c>
      <c r="AG28" s="92"/>
      <c r="AH28" s="139" t="s">
        <v>18</v>
      </c>
      <c r="AI28" s="238"/>
      <c r="AJ28" s="238"/>
      <c r="AK28" s="238">
        <f>-222*1.006*1.0089*1.0057*1.0276*1.0091*1.0182*1.0155*1.0184*1.0123</f>
        <v>-250.47620640446178</v>
      </c>
      <c r="AL28" s="238"/>
      <c r="AM28" s="238"/>
      <c r="AN28" s="238"/>
      <c r="AO28" s="94"/>
      <c r="AP28" s="238"/>
      <c r="AQ28" s="238">
        <f>-1248*1.0276*1.0091*1.0182*1.0155*1.0184*1.0123</f>
        <v>-1379.474049672232</v>
      </c>
      <c r="AR28" s="238">
        <f>-382*1.0276*1.0091*1.0182*1.0155*1.0184*1.0123</f>
        <v>-422.24285815287874</v>
      </c>
      <c r="AS28" s="238"/>
      <c r="AT28" s="258"/>
      <c r="AU28" s="22"/>
      <c r="AV28" s="80"/>
      <c r="AW28" s="80"/>
      <c r="AX28" s="80"/>
      <c r="AY28" s="139" t="s">
        <v>18</v>
      </c>
      <c r="AZ28" s="238"/>
      <c r="BA28" s="238">
        <v>581.66666666666674</v>
      </c>
      <c r="BB28" s="238">
        <f t="shared" si="15"/>
        <v>1619.68</v>
      </c>
      <c r="BC28" s="238">
        <f>489*1.0123</f>
        <v>495.0147</v>
      </c>
      <c r="BD28" s="238">
        <f>(-Djurfrågor!I20)*1.0123</f>
        <v>-238.24607279355325</v>
      </c>
      <c r="BE28" s="238"/>
      <c r="BF28" s="238"/>
      <c r="BG28" s="238"/>
      <c r="BH28" s="238">
        <v>-1689.6683651063599</v>
      </c>
      <c r="BI28" s="241">
        <v>574.6</v>
      </c>
      <c r="BJ28" s="263">
        <f t="shared" si="0"/>
        <v>29430.953602317091</v>
      </c>
      <c r="BK28" s="18"/>
      <c r="BL28" s="18"/>
      <c r="BM28" s="18"/>
      <c r="BN28" s="18"/>
      <c r="BO28" s="18"/>
      <c r="BP28" s="3"/>
      <c r="BQ28" s="3"/>
      <c r="BR28" s="3"/>
      <c r="BS28" s="3"/>
      <c r="BT28" s="3"/>
      <c r="BU28" s="139" t="s">
        <v>18</v>
      </c>
      <c r="BV28" s="242">
        <v>2.6787402909930414E-2</v>
      </c>
      <c r="BW28" s="242">
        <v>1.2747591656092809E-2</v>
      </c>
      <c r="BX28" s="242">
        <v>3.4482758620689655E-2</v>
      </c>
      <c r="BY28" s="243">
        <v>2.1039722957880997E-2</v>
      </c>
      <c r="BZ28" s="242">
        <v>2.9946665744449253E-2</v>
      </c>
      <c r="CA28" s="242">
        <v>2.8540641219669344E-2</v>
      </c>
      <c r="CB28" s="242">
        <v>2.18E-2</v>
      </c>
      <c r="CC28" s="242">
        <v>2.3266666666666668E-2</v>
      </c>
      <c r="CD28" s="244"/>
      <c r="CE28" s="244"/>
      <c r="CF28" s="244"/>
      <c r="CG28" s="244"/>
      <c r="CH28" s="245">
        <f t="shared" si="1"/>
        <v>31706.512833031898</v>
      </c>
      <c r="CI28" s="245">
        <f t="shared" si="2"/>
        <v>2230.4736350641547</v>
      </c>
      <c r="CJ28" s="245">
        <f t="shared" si="3"/>
        <v>4613.87032041778</v>
      </c>
      <c r="CK28" s="245">
        <f t="shared" si="4"/>
        <v>2774.0291094967852</v>
      </c>
      <c r="CL28" s="245">
        <f t="shared" si="5"/>
        <v>7637.6034120492322</v>
      </c>
      <c r="CM28" s="245">
        <f t="shared" si="6"/>
        <v>3590.0170050069173</v>
      </c>
      <c r="CN28" s="245">
        <f t="shared" si="7"/>
        <v>957.88680026560723</v>
      </c>
      <c r="CO28" s="156">
        <f t="shared" si="8"/>
        <v>53510.393115332379</v>
      </c>
      <c r="CS28" s="246" t="s">
        <v>18</v>
      </c>
      <c r="CT28" s="247">
        <f t="shared" si="9"/>
        <v>29430.953602317091</v>
      </c>
      <c r="CU28" s="247"/>
      <c r="CV28" s="247">
        <f t="shared" si="12"/>
        <v>37900</v>
      </c>
      <c r="CW28" s="247">
        <f t="shared" si="10"/>
        <v>53510.393115332379</v>
      </c>
      <c r="CX28" s="247"/>
      <c r="CY28" s="219">
        <f t="shared" si="14"/>
        <v>120841.34671764947</v>
      </c>
      <c r="CZ28" s="221">
        <f t="shared" si="13"/>
        <v>4.0094636993177786E-2</v>
      </c>
      <c r="DA28" s="248"/>
      <c r="DB28" s="247"/>
      <c r="DC28" s="247">
        <v>3648.0048847263301</v>
      </c>
      <c r="DD28" s="141"/>
      <c r="DE28" s="58"/>
      <c r="DF28" s="58"/>
      <c r="DG28" s="76"/>
      <c r="DH28" s="77"/>
      <c r="DI28" s="78"/>
      <c r="DJ28" s="68"/>
      <c r="DK28" s="4"/>
      <c r="DM28" s="57"/>
      <c r="DN28" s="57"/>
      <c r="DO28" s="20"/>
      <c r="DP28" s="57"/>
      <c r="DQ28" s="58"/>
      <c r="DR28" s="58"/>
      <c r="DS28" s="58"/>
      <c r="DT28" s="58"/>
      <c r="DU28" s="41"/>
      <c r="DV28" s="40"/>
      <c r="DW28" s="42"/>
      <c r="DX28" s="31"/>
      <c r="DY28" s="20"/>
      <c r="DZ28" s="4"/>
      <c r="EA28" s="43"/>
      <c r="EB28" s="4"/>
      <c r="EC28" s="4"/>
      <c r="ED28" s="14"/>
      <c r="EE28" s="4"/>
      <c r="EG28" s="4"/>
      <c r="EH28" s="4"/>
      <c r="EI28" s="4"/>
      <c r="EJ28" s="4"/>
      <c r="EL28" s="4"/>
      <c r="EM28" s="14"/>
      <c r="EQ28" s="14"/>
      <c r="ER28" s="14"/>
      <c r="ES28" s="14"/>
      <c r="EW28" s="14"/>
      <c r="EX28" s="4"/>
      <c r="EZ28" s="10"/>
    </row>
    <row r="29" spans="1:156" x14ac:dyDescent="0.25">
      <c r="A29" s="98" t="s">
        <v>125</v>
      </c>
      <c r="B29" s="98"/>
      <c r="C29" s="98"/>
      <c r="D29" s="98"/>
      <c r="E29" s="98"/>
      <c r="I29" s="23"/>
      <c r="J29" s="14"/>
      <c r="L29" s="139" t="s">
        <v>6</v>
      </c>
      <c r="M29" s="238"/>
      <c r="N29" s="238"/>
      <c r="O29" s="238"/>
      <c r="P29" s="238"/>
      <c r="Q29" s="238">
        <f>151.234996507715*1.0362*1.006*1.0089*1.0057*1.0276*1.0091*1.0182*1.0155*1.0184*1.0123</f>
        <v>176.81104508880657</v>
      </c>
      <c r="R29" s="238"/>
      <c r="S29" s="238"/>
      <c r="T29" s="238">
        <f t="shared" ref="T29:T34" si="16">1083.20872459566*1.0362*1.006*1.0089*1.0057*1.0276*1.0091*1.0182*1.0155*1.0184*1.0123</f>
        <v>1266.3951536858845</v>
      </c>
      <c r="U29" s="238"/>
      <c r="V29" s="238"/>
      <c r="W29" s="238"/>
      <c r="X29" s="238"/>
      <c r="Y29" s="238"/>
      <c r="Z29" s="238"/>
      <c r="AA29" s="238"/>
      <c r="AB29" s="238">
        <f>-Utvecklingsmedel!I21</f>
        <v>-1113.8337768740191</v>
      </c>
      <c r="AC29" s="258"/>
      <c r="AG29" s="92"/>
      <c r="AH29" s="139" t="s">
        <v>6</v>
      </c>
      <c r="AI29" s="238"/>
      <c r="AJ29" s="238"/>
      <c r="AK29" s="238">
        <f>826*1.006*1.0089*1.0057*1.0276*1.0091*1.0182*1.0155*1.0184*1.0123</f>
        <v>931.95201121660114</v>
      </c>
      <c r="AL29" s="238"/>
      <c r="AM29" s="238"/>
      <c r="AN29" s="238"/>
      <c r="AO29" s="94"/>
      <c r="AP29" s="238"/>
      <c r="AQ29" s="238">
        <f>1269*1.0276*1.0091*1.0182*1.0155*1.0184*1.0123</f>
        <v>1402.6863533926785</v>
      </c>
      <c r="AR29" s="238">
        <f>1952*1.0276*1.0091*1.0182*1.0155*1.0184*1.0123</f>
        <v>2157.6388982052863</v>
      </c>
      <c r="AS29" s="238"/>
      <c r="AT29" s="258"/>
      <c r="AU29" s="22"/>
      <c r="AV29" s="80"/>
      <c r="AW29" s="80"/>
      <c r="AX29" s="80"/>
      <c r="AY29" s="139" t="s">
        <v>6</v>
      </c>
      <c r="AZ29" s="238"/>
      <c r="BA29" s="238">
        <v>980</v>
      </c>
      <c r="BB29" s="238">
        <f t="shared" si="15"/>
        <v>1619.68</v>
      </c>
      <c r="BC29" s="238">
        <f>371*1.0123</f>
        <v>375.56329999999997</v>
      </c>
      <c r="BD29" s="238">
        <f>(-Djurfrågor!I21)*1.0123</f>
        <v>-330.74328681667367</v>
      </c>
      <c r="BE29" s="238"/>
      <c r="BF29" s="238"/>
      <c r="BG29" s="238"/>
      <c r="BH29" s="238">
        <v>-2374.0613941858601</v>
      </c>
      <c r="BI29" s="241">
        <v>1013.2</v>
      </c>
      <c r="BJ29" s="263">
        <f t="shared" si="0"/>
        <v>6105.288303712704</v>
      </c>
      <c r="BK29" s="18"/>
      <c r="BL29" s="18"/>
      <c r="BM29" s="18"/>
      <c r="BN29" s="18"/>
      <c r="BO29" s="18"/>
      <c r="BP29" s="3"/>
      <c r="BQ29" s="3"/>
      <c r="BR29" s="3"/>
      <c r="BS29" s="3"/>
      <c r="BT29" s="3"/>
      <c r="BU29" s="139" t="s">
        <v>6</v>
      </c>
      <c r="BV29" s="242">
        <v>2.8276497735923705E-2</v>
      </c>
      <c r="BW29" s="242">
        <v>6.7393110191592026E-2</v>
      </c>
      <c r="BX29" s="242">
        <v>5.1724137931034482E-2</v>
      </c>
      <c r="BY29" s="243">
        <v>5.7377697999052582E-2</v>
      </c>
      <c r="BZ29" s="242">
        <v>6.5211223932948523E-2</v>
      </c>
      <c r="CA29" s="242">
        <v>3.8031129554399357E-2</v>
      </c>
      <c r="CB29" s="242">
        <v>3.1399999999999997E-2</v>
      </c>
      <c r="CC29" s="242">
        <v>3.9199999999999999E-2</v>
      </c>
      <c r="CD29" s="244"/>
      <c r="CE29" s="244"/>
      <c r="CF29" s="244"/>
      <c r="CG29" s="244"/>
      <c r="CH29" s="245">
        <f t="shared" si="1"/>
        <v>33469.057875890641</v>
      </c>
      <c r="CI29" s="245">
        <f t="shared" si="2"/>
        <v>11791.917996955408</v>
      </c>
      <c r="CJ29" s="245">
        <f t="shared" si="3"/>
        <v>6920.8054806266691</v>
      </c>
      <c r="CK29" s="245">
        <f t="shared" si="4"/>
        <v>6040.6669309902336</v>
      </c>
      <c r="CL29" s="245">
        <f t="shared" si="5"/>
        <v>10177.300594374386</v>
      </c>
      <c r="CM29" s="245">
        <f t="shared" si="6"/>
        <v>5170.9419246429907</v>
      </c>
      <c r="CN29" s="245">
        <f t="shared" si="7"/>
        <v>1613.8608554618252</v>
      </c>
      <c r="CO29" s="156">
        <f t="shared" si="8"/>
        <v>75184.55165894216</v>
      </c>
      <c r="CS29" s="246" t="s">
        <v>6</v>
      </c>
      <c r="CT29" s="247">
        <f t="shared" si="9"/>
        <v>6105.288303712704</v>
      </c>
      <c r="CU29" s="247"/>
      <c r="CV29" s="247">
        <f t="shared" si="12"/>
        <v>37900</v>
      </c>
      <c r="CW29" s="247">
        <f t="shared" si="10"/>
        <v>75184.55165894216</v>
      </c>
      <c r="CX29" s="247"/>
      <c r="CY29" s="219">
        <f>SUM(CT29:CW29)</f>
        <v>119189.83996265486</v>
      </c>
      <c r="CZ29" s="221">
        <f t="shared" si="13"/>
        <v>3.9546674183825722E-2</v>
      </c>
      <c r="DA29" s="248"/>
      <c r="DB29" s="247"/>
      <c r="DC29" s="247">
        <v>3578.1506550413269</v>
      </c>
      <c r="DD29" s="141"/>
      <c r="DE29" s="58"/>
      <c r="DF29" s="58"/>
      <c r="DG29" s="76"/>
      <c r="DH29" s="77"/>
      <c r="DI29" s="78"/>
      <c r="DJ29" s="68"/>
      <c r="DK29" s="4"/>
      <c r="DM29" s="57"/>
      <c r="DN29" s="57"/>
      <c r="DO29" s="20"/>
      <c r="DP29" s="57"/>
      <c r="DQ29" s="58"/>
      <c r="DR29" s="58"/>
      <c r="DS29" s="58"/>
      <c r="DT29" s="58"/>
      <c r="DU29" s="41"/>
      <c r="DV29" s="40"/>
      <c r="DW29" s="42"/>
      <c r="DX29" s="31"/>
      <c r="DY29" s="20"/>
      <c r="DZ29" s="4"/>
      <c r="EA29" s="43"/>
      <c r="EB29" s="4"/>
      <c r="EC29" s="4"/>
      <c r="ED29" s="14"/>
      <c r="EE29" s="4"/>
      <c r="EG29" s="4"/>
      <c r="EH29" s="4"/>
      <c r="EI29" s="4"/>
      <c r="EJ29" s="4"/>
      <c r="EL29" s="4"/>
      <c r="EM29" s="14"/>
      <c r="EQ29" s="14"/>
      <c r="ER29" s="14"/>
      <c r="ES29" s="14"/>
      <c r="EW29" s="14"/>
      <c r="EX29" s="4"/>
      <c r="EZ29" s="10"/>
    </row>
    <row r="30" spans="1:156" x14ac:dyDescent="0.25">
      <c r="A30" s="98" t="s">
        <v>126</v>
      </c>
      <c r="B30" s="98"/>
      <c r="C30" s="98"/>
      <c r="D30" s="98"/>
      <c r="E30" s="98"/>
      <c r="I30" s="23"/>
      <c r="J30" s="14"/>
      <c r="L30" s="139" t="s">
        <v>9</v>
      </c>
      <c r="M30" s="238"/>
      <c r="N30" s="238"/>
      <c r="O30" s="238"/>
      <c r="P30" s="238"/>
      <c r="Q30" s="238">
        <f>94.5218728173217*1.0362*1.006*1.0089*1.0057*1.0276*1.0091*1.0182*1.0155*1.0184*1.0123</f>
        <v>110.50690318050388</v>
      </c>
      <c r="R30" s="238"/>
      <c r="S30" s="238"/>
      <c r="T30" s="238">
        <f t="shared" si="16"/>
        <v>1266.3951536858845</v>
      </c>
      <c r="U30" s="238"/>
      <c r="V30" s="238"/>
      <c r="W30" s="238"/>
      <c r="X30" s="238"/>
      <c r="Y30" s="238"/>
      <c r="Z30" s="238"/>
      <c r="AA30" s="238"/>
      <c r="AB30" s="238">
        <f>-Utvecklingsmedel!I22</f>
        <v>-1058.2221617010341</v>
      </c>
      <c r="AC30" s="258"/>
      <c r="AG30" s="92"/>
      <c r="AH30" s="139" t="s">
        <v>9</v>
      </c>
      <c r="AI30" s="238"/>
      <c r="AJ30" s="238"/>
      <c r="AK30" s="238">
        <f>-279*1.006*1.0089*1.0057*1.0276*1.0091*1.0182*1.0155*1.0184*1.0123</f>
        <v>-314.78766480560733</v>
      </c>
      <c r="AL30" s="238"/>
      <c r="AM30" s="238"/>
      <c r="AN30" s="238">
        <f>700*1.0057*1.0276*1.0091*1.0182*1.0155*1.0184*1.0123</f>
        <v>778.1537950550919</v>
      </c>
      <c r="AO30" s="94"/>
      <c r="AP30" s="238">
        <f>840*1.0276*1.0091*1.0182*1.0155*1.0184*1.0123</f>
        <v>928.4921488178486</v>
      </c>
      <c r="AQ30" s="238">
        <f>-1269*1.0276*1.0091*1.0182*1.0155*1.0184*1.0123</f>
        <v>-1402.6863533926785</v>
      </c>
      <c r="AR30" s="238">
        <f>-479*1.0276*1.0091*1.0182*1.0155*1.0184*1.0123</f>
        <v>-529.46159438541599</v>
      </c>
      <c r="AS30" s="238"/>
      <c r="AT30" s="258"/>
      <c r="AU30" s="22"/>
      <c r="AV30" s="80"/>
      <c r="AW30" s="80"/>
      <c r="AX30" s="80"/>
      <c r="AY30" s="139" t="s">
        <v>9</v>
      </c>
      <c r="AZ30" s="238"/>
      <c r="BA30" s="238">
        <v>820.83333333333326</v>
      </c>
      <c r="BB30" s="238">
        <f t="shared" si="15"/>
        <v>1619.68</v>
      </c>
      <c r="BC30" s="238">
        <f>826*1.0123</f>
        <v>836.15980000000002</v>
      </c>
      <c r="BD30" s="238">
        <f>(-Djurfrågor!I22)*1.0123</f>
        <v>-314.22989965838724</v>
      </c>
      <c r="BE30" s="238"/>
      <c r="BF30" s="238">
        <v>1000</v>
      </c>
      <c r="BG30" s="238">
        <v>1000</v>
      </c>
      <c r="BH30" s="238">
        <v>-2254.8520595605701</v>
      </c>
      <c r="BI30" s="94">
        <v>1003</v>
      </c>
      <c r="BJ30" s="263">
        <f t="shared" si="0"/>
        <v>3488.9814005689691</v>
      </c>
      <c r="BK30" s="18"/>
      <c r="BL30" s="18"/>
      <c r="BM30" s="18"/>
      <c r="BN30" s="18"/>
      <c r="BO30" s="18"/>
      <c r="BP30" s="3"/>
      <c r="BQ30" s="3"/>
      <c r="BR30" s="3"/>
      <c r="BS30" s="3"/>
      <c r="BT30" s="3"/>
      <c r="BU30" s="139" t="s">
        <v>9</v>
      </c>
      <c r="BV30" s="242">
        <v>2.8224325070487444E-2</v>
      </c>
      <c r="BW30" s="242">
        <v>4.3894495425452151E-2</v>
      </c>
      <c r="BX30" s="242">
        <v>3.4482758620689655E-2</v>
      </c>
      <c r="BY30" s="243">
        <v>2.2952255663567345E-2</v>
      </c>
      <c r="BZ30" s="242">
        <v>7.8515480063984677E-2</v>
      </c>
      <c r="CA30" s="242">
        <v>4.2852077530482632E-2</v>
      </c>
      <c r="CB30" s="242">
        <v>3.4099999999999998E-2</v>
      </c>
      <c r="CC30" s="242">
        <v>3.2833333333333332E-2</v>
      </c>
      <c r="CD30" s="244"/>
      <c r="CE30" s="244"/>
      <c r="CF30" s="244"/>
      <c r="CG30" s="244"/>
      <c r="CH30" s="245">
        <f t="shared" si="1"/>
        <v>33407.304472929165</v>
      </c>
      <c r="CI30" s="245">
        <f t="shared" si="2"/>
        <v>7680.3146360685687</v>
      </c>
      <c r="CJ30" s="245">
        <f t="shared" si="3"/>
        <v>4613.87032041778</v>
      </c>
      <c r="CK30" s="245">
        <f t="shared" si="4"/>
        <v>7273.0710357622693</v>
      </c>
      <c r="CL30" s="245">
        <f t="shared" si="5"/>
        <v>11467.407863795856</v>
      </c>
      <c r="CM30" s="245">
        <f t="shared" si="6"/>
        <v>5615.5770582906362</v>
      </c>
      <c r="CN30" s="245">
        <f t="shared" si="7"/>
        <v>1351.7456995152193</v>
      </c>
      <c r="CO30" s="156">
        <f t="shared" si="8"/>
        <v>71409.2910867795</v>
      </c>
      <c r="CS30" s="246" t="s">
        <v>9</v>
      </c>
      <c r="CT30" s="247">
        <f t="shared" si="9"/>
        <v>3488.9814005689691</v>
      </c>
      <c r="CU30" s="247"/>
      <c r="CV30" s="247">
        <f t="shared" si="12"/>
        <v>37900</v>
      </c>
      <c r="CW30" s="247">
        <f t="shared" si="10"/>
        <v>71409.2910867795</v>
      </c>
      <c r="CX30" s="247"/>
      <c r="CY30" s="219">
        <f t="shared" si="14"/>
        <v>112798.27248734847</v>
      </c>
      <c r="CZ30" s="221">
        <f t="shared" si="13"/>
        <v>3.7425979697206083E-2</v>
      </c>
      <c r="DA30" s="248"/>
      <c r="DB30" s="247"/>
      <c r="DC30" s="247">
        <v>3356.4897216296167</v>
      </c>
      <c r="DD30" s="141"/>
      <c r="DE30" s="58"/>
      <c r="DF30" s="58"/>
      <c r="DG30" s="76"/>
      <c r="DH30" s="77"/>
      <c r="DI30" s="78"/>
      <c r="DJ30" s="68"/>
      <c r="DK30" s="4"/>
      <c r="DM30" s="57"/>
      <c r="DN30" s="57"/>
      <c r="DO30" s="20"/>
      <c r="DP30" s="57"/>
      <c r="DQ30" s="58"/>
      <c r="DR30" s="58"/>
      <c r="DS30" s="58"/>
      <c r="DT30" s="58"/>
      <c r="DU30" s="41"/>
      <c r="DV30" s="40"/>
      <c r="DW30" s="42"/>
      <c r="DX30" s="31"/>
      <c r="DY30" s="20"/>
      <c r="DZ30" s="4"/>
      <c r="EA30" s="43"/>
      <c r="EB30" s="4"/>
      <c r="EC30" s="4"/>
      <c r="ED30" s="14"/>
      <c r="EE30" s="4"/>
      <c r="EG30" s="4"/>
      <c r="EH30" s="4"/>
      <c r="EI30" s="4"/>
      <c r="EJ30" s="4"/>
      <c r="EL30" s="4"/>
      <c r="EM30" s="14"/>
      <c r="EQ30" s="14"/>
      <c r="ER30" s="14"/>
      <c r="ES30" s="14"/>
      <c r="EW30" s="14"/>
      <c r="EX30" s="4"/>
      <c r="EZ30" s="10"/>
    </row>
    <row r="31" spans="1:156" x14ac:dyDescent="0.25">
      <c r="A31" s="98"/>
      <c r="B31" s="98"/>
      <c r="C31" s="98"/>
      <c r="D31" s="98"/>
      <c r="E31" s="98"/>
      <c r="I31" s="23"/>
      <c r="J31" s="14"/>
      <c r="L31" s="139" t="s">
        <v>19</v>
      </c>
      <c r="M31" s="238"/>
      <c r="N31" s="238"/>
      <c r="O31" s="238"/>
      <c r="P31" s="238"/>
      <c r="Q31" s="238">
        <f>59.8638527843037*1.0362*1.006*1.0089*1.0057*1.0276*1.0091*1.0182*1.0155*1.0184*1.0123</f>
        <v>69.987705347652422</v>
      </c>
      <c r="R31" s="238"/>
      <c r="S31" s="238"/>
      <c r="T31" s="238">
        <f t="shared" si="16"/>
        <v>1266.3951536858845</v>
      </c>
      <c r="U31" s="238"/>
      <c r="V31" s="238"/>
      <c r="W31" s="238"/>
      <c r="X31" s="238"/>
      <c r="Y31" s="238"/>
      <c r="Z31" s="238"/>
      <c r="AA31" s="238"/>
      <c r="AB31" s="238">
        <f>-Utvecklingsmedel!I23</f>
        <v>-1010.2500917670253</v>
      </c>
      <c r="AC31" s="258"/>
      <c r="AG31" s="92"/>
      <c r="AH31" s="139" t="s">
        <v>19</v>
      </c>
      <c r="AI31" s="238"/>
      <c r="AJ31" s="238"/>
      <c r="AK31" s="238">
        <f>210*1.006*1.0089*1.0057*1.0276*1.0091*1.0182*1.0155*1.0184*1.0123</f>
        <v>236.93695200422061</v>
      </c>
      <c r="AL31" s="238"/>
      <c r="AM31" s="238"/>
      <c r="AN31" s="238"/>
      <c r="AO31" s="94"/>
      <c r="AP31" s="238">
        <f>1680*1.0276*1.0091*1.0182*1.0155*1.0184*1.0123</f>
        <v>1856.9842976356972</v>
      </c>
      <c r="AQ31" s="238">
        <f>1560*1.0276*1.0091*1.0182*1.0155*1.0184*1.0123</f>
        <v>1724.3425620902904</v>
      </c>
      <c r="AR31" s="238">
        <f>512*1.0276*1.0091*1.0182*1.0155*1.0184*1.0123</f>
        <v>565.93807166040301</v>
      </c>
      <c r="AS31" s="238">
        <f>2540*1.0276*1.0091*1.0182*1.0155*1.0184*1.0123</f>
        <v>2807.5834023777807</v>
      </c>
      <c r="AT31" s="258"/>
      <c r="AU31" s="22"/>
      <c r="AV31" s="80"/>
      <c r="AW31" s="80"/>
      <c r="AX31" s="80"/>
      <c r="AY31" s="139" t="s">
        <v>19</v>
      </c>
      <c r="AZ31" s="238"/>
      <c r="BA31" s="238">
        <v>750</v>
      </c>
      <c r="BB31" s="238">
        <f t="shared" si="15"/>
        <v>1619.68</v>
      </c>
      <c r="BC31" s="238">
        <f>1180*1.0123</f>
        <v>1194.5139999999999</v>
      </c>
      <c r="BD31" s="238">
        <f>(-Djurfrågor!I23)*1.0123</f>
        <v>-299.98500924942283</v>
      </c>
      <c r="BE31" s="238"/>
      <c r="BF31" s="238"/>
      <c r="BG31" s="238"/>
      <c r="BH31" s="238">
        <v>-2265.26744475332</v>
      </c>
      <c r="BI31" s="241">
        <v>702.1</v>
      </c>
      <c r="BJ31" s="263">
        <f t="shared" si="0"/>
        <v>9218.9595990321595</v>
      </c>
      <c r="BK31" s="18"/>
      <c r="BL31" s="18"/>
      <c r="BM31" s="18"/>
      <c r="BN31" s="18"/>
      <c r="BO31" s="18"/>
      <c r="BP31" s="3"/>
      <c r="BQ31" s="3"/>
      <c r="BR31" s="3"/>
      <c r="BS31" s="3"/>
      <c r="BT31" s="3"/>
      <c r="BU31" s="139" t="s">
        <v>19</v>
      </c>
      <c r="BV31" s="242">
        <v>2.4304557143989245E-2</v>
      </c>
      <c r="BW31" s="242">
        <v>5.1307781878266644E-2</v>
      </c>
      <c r="BX31" s="242">
        <v>2.4137931034482758E-2</v>
      </c>
      <c r="BY31" s="243">
        <v>2.1779868782484425E-2</v>
      </c>
      <c r="BZ31" s="242">
        <v>0.10155137679048411</v>
      </c>
      <c r="CA31" s="242">
        <v>5.8578531465851305E-2</v>
      </c>
      <c r="CB31" s="242">
        <v>2.7E-2</v>
      </c>
      <c r="CC31" s="242">
        <v>0.03</v>
      </c>
      <c r="CD31" s="244"/>
      <c r="CE31" s="244"/>
      <c r="CF31" s="244"/>
      <c r="CG31" s="244"/>
      <c r="CH31" s="245">
        <f t="shared" si="1"/>
        <v>28767.729203840685</v>
      </c>
      <c r="CI31" s="245">
        <f t="shared" si="2"/>
        <v>8977.4333725538163</v>
      </c>
      <c r="CJ31" s="245">
        <f t="shared" si="3"/>
        <v>3229.7092242924459</v>
      </c>
      <c r="CK31" s="245">
        <f t="shared" si="4"/>
        <v>9406.9395815290263</v>
      </c>
      <c r="CL31" s="245">
        <f t="shared" si="5"/>
        <v>15675.877369149121</v>
      </c>
      <c r="CM31" s="245">
        <f t="shared" si="6"/>
        <v>4446.3513364764576</v>
      </c>
      <c r="CN31" s="245">
        <f t="shared" si="7"/>
        <v>1235.0975934656826</v>
      </c>
      <c r="CO31" s="156">
        <f t="shared" si="8"/>
        <v>71739.137681307242</v>
      </c>
      <c r="CS31" s="246" t="s">
        <v>19</v>
      </c>
      <c r="CT31" s="247">
        <f t="shared" si="9"/>
        <v>9218.9595990321595</v>
      </c>
      <c r="CU31" s="247"/>
      <c r="CV31" s="247">
        <f t="shared" si="12"/>
        <v>37900</v>
      </c>
      <c r="CW31" s="247">
        <f t="shared" si="10"/>
        <v>71739.137681307242</v>
      </c>
      <c r="CX31" s="247"/>
      <c r="CY31" s="219">
        <f t="shared" si="14"/>
        <v>118858.0972803394</v>
      </c>
      <c r="CZ31" s="221">
        <f t="shared" si="13"/>
        <v>3.9436603394448801E-2</v>
      </c>
      <c r="DA31" s="248"/>
      <c r="DB31" s="247"/>
      <c r="DC31" s="247">
        <v>3468.5318043063075</v>
      </c>
      <c r="DD31" s="141"/>
      <c r="DE31" s="58"/>
      <c r="DF31" s="58"/>
      <c r="DG31" s="76"/>
      <c r="DH31" s="77"/>
      <c r="DI31" s="78"/>
      <c r="DJ31" s="68"/>
      <c r="DK31" s="4"/>
      <c r="DM31" s="57"/>
      <c r="DN31" s="57"/>
      <c r="DO31" s="20"/>
      <c r="DP31" s="57"/>
      <c r="DQ31" s="58"/>
      <c r="DR31" s="58"/>
      <c r="DS31" s="58"/>
      <c r="DT31" s="58"/>
      <c r="DU31" s="41"/>
      <c r="DV31" s="40"/>
      <c r="DW31" s="42"/>
      <c r="DX31" s="31"/>
      <c r="DY31" s="20"/>
      <c r="DZ31" s="4"/>
      <c r="EA31" s="43"/>
      <c r="EB31" s="4"/>
      <c r="EC31" s="4"/>
      <c r="ED31" s="14"/>
      <c r="EE31" s="4"/>
      <c r="EG31" s="4"/>
      <c r="EH31" s="4"/>
      <c r="EI31" s="4"/>
      <c r="EJ31" s="4"/>
      <c r="EL31" s="4"/>
      <c r="EM31" s="14"/>
      <c r="EQ31" s="14"/>
      <c r="ER31" s="14"/>
      <c r="ES31" s="14"/>
      <c r="EW31" s="14"/>
      <c r="EX31" s="4"/>
      <c r="EZ31" s="10"/>
    </row>
    <row r="32" spans="1:156" x14ac:dyDescent="0.25">
      <c r="A32" s="98" t="s">
        <v>133</v>
      </c>
      <c r="B32" s="98">
        <v>37900</v>
      </c>
      <c r="C32" s="98"/>
      <c r="D32" s="98"/>
      <c r="E32" s="98"/>
      <c r="I32" s="23"/>
      <c r="J32" s="14"/>
      <c r="L32" s="139" t="s">
        <v>20</v>
      </c>
      <c r="M32" s="238">
        <f>3479.45516270874*1.0362*1.006*1.0089*1.0057*1.0276*1.0091*1.0182*1.0155*1.0184*1.0123</f>
        <v>4067.8818915223242</v>
      </c>
      <c r="N32" s="238"/>
      <c r="O32" s="238"/>
      <c r="P32" s="238"/>
      <c r="Q32" s="238">
        <f>79.8184703790716*1.0362*1.006*1.0089*1.0057*1.0276*1.0091*1.0182*1.0155*1.0184*1.0123</f>
        <v>93.316940463536568</v>
      </c>
      <c r="R32" s="238"/>
      <c r="S32" s="238"/>
      <c r="T32" s="238">
        <f t="shared" si="16"/>
        <v>1266.3951536858845</v>
      </c>
      <c r="U32" s="238"/>
      <c r="V32" s="238">
        <v>-45.343621029585826</v>
      </c>
      <c r="W32" s="238"/>
      <c r="X32" s="238"/>
      <c r="Y32" s="238"/>
      <c r="Z32" s="238"/>
      <c r="AA32" s="238">
        <f>(2598*1.0089*1.0057*1.0276*1.0091*1.0182*1.0155*1.0184*1.0123)+1000</f>
        <v>3913.7659817616454</v>
      </c>
      <c r="AB32" s="238">
        <f>-Utvecklingsmedel!I24</f>
        <v>-927.79381908641972</v>
      </c>
      <c r="AC32" s="258"/>
      <c r="AG32" s="92"/>
      <c r="AH32" s="139" t="s">
        <v>20</v>
      </c>
      <c r="AI32" s="238"/>
      <c r="AJ32" s="238"/>
      <c r="AK32" s="238">
        <f>-278*1.006*1.0089*1.0057*1.0276*1.0091*1.0182*1.0155*1.0184*1.0123</f>
        <v>-313.6593936055873</v>
      </c>
      <c r="AL32" s="238"/>
      <c r="AM32" s="238"/>
      <c r="AN32" s="238"/>
      <c r="AO32" s="94"/>
      <c r="AP32" s="238"/>
      <c r="AQ32" s="238">
        <f>-1560*1.0276*1.0091*1.0182*1.0155*1.0184*1.0123</f>
        <v>-1724.3425620902904</v>
      </c>
      <c r="AR32" s="238">
        <f>-512*1.0276*1.0091*1.0182*1.0155*1.0184*1.0123</f>
        <v>-565.93807166040301</v>
      </c>
      <c r="AS32" s="238"/>
      <c r="AT32" s="258"/>
      <c r="AU32" s="22"/>
      <c r="AV32" s="80"/>
      <c r="AW32" s="80"/>
      <c r="AX32" s="80"/>
      <c r="AY32" s="139" t="s">
        <v>20</v>
      </c>
      <c r="AZ32" s="238"/>
      <c r="BA32" s="238">
        <v>610.83333333333337</v>
      </c>
      <c r="BB32" s="238">
        <f t="shared" si="15"/>
        <v>1619.68</v>
      </c>
      <c r="BC32" s="238">
        <f>17*1.0123</f>
        <v>17.209099999999999</v>
      </c>
      <c r="BD32" s="238">
        <f>(-Djurfrågor!I24)*1.0123</f>
        <v>-275.50033369794687</v>
      </c>
      <c r="BE32" s="238"/>
      <c r="BF32" s="238"/>
      <c r="BG32" s="238"/>
      <c r="BH32" s="238">
        <v>-1946.4106066403799</v>
      </c>
      <c r="BI32" s="241">
        <v>856.8</v>
      </c>
      <c r="BJ32" s="263">
        <f t="shared" si="0"/>
        <v>6646.893992956112</v>
      </c>
      <c r="BK32" s="18"/>
      <c r="BL32" s="18"/>
      <c r="BM32" s="18"/>
      <c r="BN32" s="18"/>
      <c r="BO32" s="18"/>
      <c r="BP32" s="3"/>
      <c r="BQ32" s="3"/>
      <c r="BR32" s="3"/>
      <c r="BS32" s="3"/>
      <c r="BT32" s="3"/>
      <c r="BU32" s="139" t="s">
        <v>20</v>
      </c>
      <c r="BV32" s="242">
        <v>1.2826373124279044E-2</v>
      </c>
      <c r="BW32" s="242">
        <v>0.11991735499819527</v>
      </c>
      <c r="BX32" s="242">
        <v>2.7586206896551724E-2</v>
      </c>
      <c r="BY32" s="243">
        <v>7.3230435498111271E-2</v>
      </c>
      <c r="BZ32" s="242">
        <v>0.10542000066821684</v>
      </c>
      <c r="CA32" s="242">
        <v>2.5099759210606656E-2</v>
      </c>
      <c r="CB32" s="242">
        <v>2.6100000000000002E-2</v>
      </c>
      <c r="CC32" s="242">
        <v>2.4433333333333335E-2</v>
      </c>
      <c r="CD32" s="244"/>
      <c r="CE32" s="244"/>
      <c r="CF32" s="244"/>
      <c r="CG32" s="244"/>
      <c r="CH32" s="245">
        <f t="shared" si="1"/>
        <v>15181.746637911207</v>
      </c>
      <c r="CI32" s="245">
        <f t="shared" si="2"/>
        <v>20982.19851451413</v>
      </c>
      <c r="CJ32" s="245">
        <f t="shared" si="3"/>
        <v>3691.0962563342237</v>
      </c>
      <c r="CK32" s="245">
        <f t="shared" si="4"/>
        <v>9765.2991846348959</v>
      </c>
      <c r="CL32" s="245">
        <f t="shared" si="5"/>
        <v>6716.8079761441495</v>
      </c>
      <c r="CM32" s="245">
        <f t="shared" si="6"/>
        <v>4298.1396252605755</v>
      </c>
      <c r="CN32" s="245">
        <f t="shared" si="7"/>
        <v>1005.9183733448282</v>
      </c>
      <c r="CO32" s="156">
        <f t="shared" si="8"/>
        <v>61641.206568144014</v>
      </c>
      <c r="CS32" s="246" t="s">
        <v>20</v>
      </c>
      <c r="CT32" s="247">
        <f t="shared" si="9"/>
        <v>6646.893992956112</v>
      </c>
      <c r="CU32" s="247"/>
      <c r="CV32" s="247">
        <f t="shared" si="12"/>
        <v>37900</v>
      </c>
      <c r="CW32" s="247">
        <f t="shared" si="10"/>
        <v>61641.206568144014</v>
      </c>
      <c r="CX32" s="247"/>
      <c r="CY32" s="219">
        <f t="shared" si="14"/>
        <v>106188.10056110012</v>
      </c>
      <c r="CZ32" s="221">
        <f t="shared" si="13"/>
        <v>3.5232753197797062E-2</v>
      </c>
      <c r="DA32" s="248"/>
      <c r="DB32" s="247"/>
      <c r="DC32" s="247">
        <v>3213.1499678295527</v>
      </c>
      <c r="DD32" s="141"/>
      <c r="DE32" s="58"/>
      <c r="DF32" s="58"/>
      <c r="DG32" s="76"/>
      <c r="DH32" s="77"/>
      <c r="DI32" s="78"/>
      <c r="DJ32" s="68"/>
      <c r="DK32" s="4"/>
      <c r="DM32" s="57"/>
      <c r="DN32" s="57"/>
      <c r="DO32" s="20"/>
      <c r="DP32" s="57"/>
      <c r="DQ32" s="58"/>
      <c r="DR32" s="58"/>
      <c r="DS32" s="58"/>
      <c r="DT32" s="58"/>
      <c r="DU32" s="41"/>
      <c r="DV32" s="40"/>
      <c r="DW32" s="42"/>
      <c r="DX32" s="31"/>
      <c r="DY32" s="20"/>
      <c r="DZ32" s="4"/>
      <c r="EA32" s="44"/>
      <c r="EB32" s="4"/>
      <c r="EC32" s="4"/>
      <c r="ED32" s="14"/>
      <c r="EE32" s="4"/>
      <c r="EG32" s="4"/>
      <c r="EH32" s="4"/>
      <c r="EI32" s="4"/>
      <c r="EJ32" s="4"/>
      <c r="EL32" s="4"/>
      <c r="EM32" s="14"/>
      <c r="EQ32" s="14"/>
      <c r="ER32" s="14"/>
      <c r="ES32" s="14"/>
      <c r="EW32" s="14"/>
      <c r="EX32" s="4"/>
      <c r="EZ32" s="10"/>
    </row>
    <row r="33" spans="1:156" x14ac:dyDescent="0.25">
      <c r="A33" s="98"/>
      <c r="B33" s="98"/>
      <c r="C33" s="98"/>
      <c r="D33" s="98"/>
      <c r="E33" s="98"/>
      <c r="I33" s="23"/>
      <c r="J33" s="14"/>
      <c r="L33" s="139" t="s">
        <v>21</v>
      </c>
      <c r="M33" s="238">
        <f>3703.1569283764*1.0362*1.006*1.0089*1.0057*1.0276*1.0091*1.0182*1.0155*1.0184*1.0123</f>
        <v>4329.4148957161824</v>
      </c>
      <c r="N33" s="238"/>
      <c r="O33" s="238"/>
      <c r="P33" s="238"/>
      <c r="Q33" s="238">
        <f>91.371143723411*1.0362*1.006*1.0089*1.0057*1.0276*1.0091*1.0182*1.0155*1.0184*1.0123</f>
        <v>106.82333974115377</v>
      </c>
      <c r="R33" s="238"/>
      <c r="S33" s="238"/>
      <c r="T33" s="238">
        <f t="shared" si="16"/>
        <v>1266.3951536858845</v>
      </c>
      <c r="U33" s="238"/>
      <c r="V33" s="238">
        <v>-260</v>
      </c>
      <c r="W33" s="238"/>
      <c r="X33" s="238"/>
      <c r="Y33" s="238"/>
      <c r="Z33" s="238"/>
      <c r="AA33" s="238">
        <f>(1795*1.0089*1.0057*1.0276*1.0091*1.0182*1.0155*1.0184*1.0123)+1300</f>
        <v>3313.1677972525613</v>
      </c>
      <c r="AB33" s="238">
        <f>-Utvecklingsmedel!I25</f>
        <v>-1325.8800996957257</v>
      </c>
      <c r="AC33" s="258"/>
      <c r="AG33" s="92"/>
      <c r="AH33" s="139" t="s">
        <v>21</v>
      </c>
      <c r="AI33" s="238"/>
      <c r="AJ33" s="238"/>
      <c r="AK33" s="238">
        <f>-143*1.006*1.0089*1.0057*1.0276*1.0091*1.0182*1.0155*1.0184*1.0123</f>
        <v>-161.34278160287406</v>
      </c>
      <c r="AL33" s="238"/>
      <c r="AM33" s="238"/>
      <c r="AN33" s="238"/>
      <c r="AO33" s="94"/>
      <c r="AP33" s="238">
        <f>840*1.0276*1.0091*1.0182*1.0155*1.0184*1.0123</f>
        <v>928.4921488178486</v>
      </c>
      <c r="AQ33" s="238"/>
      <c r="AR33" s="238">
        <f>-607*1.0276*1.0091*1.0182*1.0155*1.0184*1.0123</f>
        <v>-670.9461123005168</v>
      </c>
      <c r="AS33" s="238"/>
      <c r="AT33" s="258"/>
      <c r="AU33" s="22"/>
      <c r="AV33" s="80"/>
      <c r="AW33" s="80"/>
      <c r="AX33" s="80"/>
      <c r="AY33" s="139"/>
      <c r="AZ33" s="238"/>
      <c r="BA33" s="238">
        <v>785.00000000000011</v>
      </c>
      <c r="BB33" s="238">
        <f t="shared" si="15"/>
        <v>1619.68</v>
      </c>
      <c r="BC33" s="238">
        <f>522*1.0123</f>
        <v>528.42060000000004</v>
      </c>
      <c r="BD33" s="238">
        <f>(-Djurfrågor!I25)*1.0123</f>
        <v>-393.7086046437816</v>
      </c>
      <c r="BE33" s="238"/>
      <c r="BF33" s="238"/>
      <c r="BG33" s="238"/>
      <c r="BH33" s="238">
        <v>-2861.3853864195898</v>
      </c>
      <c r="BI33" s="241">
        <v>751.4</v>
      </c>
      <c r="BJ33" s="263">
        <f t="shared" si="0"/>
        <v>7955.5309505511414</v>
      </c>
      <c r="BK33" s="18"/>
      <c r="BL33" s="18"/>
      <c r="BM33" s="18"/>
      <c r="BN33" s="18"/>
      <c r="BO33" s="18"/>
      <c r="BP33" s="3"/>
      <c r="BQ33" s="3"/>
      <c r="BR33" s="3"/>
      <c r="BS33" s="3"/>
      <c r="BT33" s="3"/>
      <c r="BU33" s="139" t="s">
        <v>21</v>
      </c>
      <c r="BV33" s="242">
        <v>2.6527527701412673E-2</v>
      </c>
      <c r="BW33" s="242">
        <v>0.13152952214552144</v>
      </c>
      <c r="BX33" s="242">
        <v>5.1724137931034482E-2</v>
      </c>
      <c r="BY33" s="243">
        <v>0.1293588930276045</v>
      </c>
      <c r="BZ33" s="242">
        <v>0.1098161641656404</v>
      </c>
      <c r="CA33" s="242">
        <v>4.8309072873629511E-2</v>
      </c>
      <c r="CB33" s="242">
        <v>2.9700000000000001E-2</v>
      </c>
      <c r="CC33" s="242">
        <v>3.1400000000000004E-2</v>
      </c>
      <c r="CD33" s="244"/>
      <c r="CE33" s="244"/>
      <c r="CF33" s="244"/>
      <c r="CG33" s="244"/>
      <c r="CH33" s="245">
        <f t="shared" si="1"/>
        <v>31398.915390250313</v>
      </c>
      <c r="CI33" s="245">
        <f t="shared" si="2"/>
        <v>23014.004471813503</v>
      </c>
      <c r="CJ33" s="245">
        <f t="shared" si="3"/>
        <v>6920.8054806266691</v>
      </c>
      <c r="CK33" s="245">
        <f t="shared" si="4"/>
        <v>10172.526006346108</v>
      </c>
      <c r="CL33" s="245">
        <f t="shared" si="5"/>
        <v>12927.724257235253</v>
      </c>
      <c r="CM33" s="245">
        <f t="shared" si="6"/>
        <v>4890.9864701241031</v>
      </c>
      <c r="CN33" s="245">
        <f t="shared" si="7"/>
        <v>1292.7354811607479</v>
      </c>
      <c r="CO33" s="156">
        <f t="shared" si="8"/>
        <v>90617.697557556705</v>
      </c>
      <c r="CP33" s="139"/>
      <c r="CS33" s="162" t="s">
        <v>21</v>
      </c>
      <c r="CT33" s="164">
        <f t="shared" si="9"/>
        <v>7955.5309505511414</v>
      </c>
      <c r="CU33" s="164"/>
      <c r="CV33" s="164">
        <f t="shared" si="12"/>
        <v>37900</v>
      </c>
      <c r="CW33" s="164">
        <f t="shared" si="10"/>
        <v>90617.697557556705</v>
      </c>
      <c r="CX33" s="164"/>
      <c r="CY33" s="219">
        <f t="shared" si="14"/>
        <v>136473.22850810783</v>
      </c>
      <c r="CZ33" s="221">
        <f t="shared" si="13"/>
        <v>4.5281227865697028E-2</v>
      </c>
      <c r="DA33" s="165"/>
      <c r="DB33" s="164"/>
      <c r="DC33" s="164">
        <v>4080.8913338312404</v>
      </c>
      <c r="DD33" s="163"/>
      <c r="DE33" s="58"/>
      <c r="DF33" s="58"/>
      <c r="DG33" s="76"/>
      <c r="DH33" s="77"/>
      <c r="DI33" s="78"/>
      <c r="DJ33" s="68"/>
      <c r="DK33" s="4"/>
      <c r="DM33" s="57"/>
      <c r="DN33" s="57"/>
      <c r="DO33" s="20"/>
      <c r="DP33" s="57"/>
      <c r="DQ33" s="58"/>
      <c r="DR33" s="58"/>
      <c r="DS33" s="58"/>
      <c r="DT33" s="58"/>
      <c r="DU33" s="41"/>
      <c r="DV33" s="40"/>
      <c r="DW33" s="42"/>
      <c r="DX33" s="31"/>
      <c r="DY33" s="20"/>
      <c r="DZ33" s="4"/>
      <c r="EA33" s="44"/>
      <c r="EB33" s="4"/>
      <c r="EC33" s="4"/>
      <c r="ED33" s="14"/>
      <c r="EE33" s="4"/>
      <c r="EG33" s="4"/>
      <c r="EH33" s="4"/>
      <c r="EI33" s="4"/>
      <c r="EJ33" s="4"/>
      <c r="EL33" s="4"/>
      <c r="EM33" s="14"/>
      <c r="EQ33" s="14"/>
      <c r="ER33" s="14"/>
      <c r="ES33" s="14"/>
      <c r="EW33" s="14"/>
      <c r="EX33" s="4"/>
      <c r="EZ33" s="10"/>
    </row>
    <row r="34" spans="1:156" x14ac:dyDescent="0.25">
      <c r="A34" s="98"/>
      <c r="B34" s="98"/>
      <c r="C34" s="98"/>
      <c r="D34" s="98"/>
      <c r="E34" s="98"/>
      <c r="I34" s="23"/>
      <c r="J34" s="14"/>
      <c r="L34" s="139" t="s">
        <v>22</v>
      </c>
      <c r="M34" s="238">
        <f>5374.09359118039*1.0362*1.006*1.0089*1.0057*1.0276*1.0091*1.0182*1.0155*1.0184*1.0123</f>
        <v>6282.9313730515378</v>
      </c>
      <c r="N34" s="238"/>
      <c r="O34" s="238"/>
      <c r="P34" s="238"/>
      <c r="Q34" s="238">
        <f>201.646662010286*1.0362*1.006*1.0089*1.0057*1.0276*1.0091*1.0182*1.0155*1.0184*1.0123</f>
        <v>235.74806011840798</v>
      </c>
      <c r="R34" s="238"/>
      <c r="S34" s="238"/>
      <c r="T34" s="238">
        <f t="shared" si="16"/>
        <v>1266.3951536858845</v>
      </c>
      <c r="U34" s="238"/>
      <c r="V34" s="238">
        <v>-1625</v>
      </c>
      <c r="W34" s="238"/>
      <c r="X34" s="238"/>
      <c r="Y34" s="238"/>
      <c r="Z34" s="238"/>
      <c r="AA34" s="238">
        <f>(1207*1.0089*1.0057*1.0276*1.0091*1.0182*1.0155*1.0184*1.0123)+1050</f>
        <v>2403.7011316344524</v>
      </c>
      <c r="AB34" s="238">
        <f>-Utvecklingsmedel!I26</f>
        <v>-1531.4384128371371</v>
      </c>
      <c r="AC34" s="258"/>
      <c r="AG34" s="92"/>
      <c r="AH34" s="139" t="s">
        <v>22</v>
      </c>
      <c r="AI34" s="238"/>
      <c r="AJ34" s="238"/>
      <c r="AK34" s="238">
        <f>233*1.006*1.0089*1.0057*1.0276*1.0091*1.0182*1.0155*1.0184*1.0123</f>
        <v>262.88718960468299</v>
      </c>
      <c r="AL34" s="238"/>
      <c r="AM34" s="238"/>
      <c r="AN34" s="238">
        <f>700*1.0057*1.0276*1.0091*1.0182*1.0155*1.0184*1.0123</f>
        <v>778.1537950550919</v>
      </c>
      <c r="AO34" s="94"/>
      <c r="AP34" s="238">
        <f>840*1.0276*1.0091*1.0182*1.0155*1.0184*1.0123</f>
        <v>928.4921488178486</v>
      </c>
      <c r="AQ34" s="238"/>
      <c r="AR34" s="238">
        <f>607*1.0276*1.0091*1.0182*1.0155*1.0184*1.0123</f>
        <v>670.9461123005168</v>
      </c>
      <c r="AS34" s="238">
        <f>3030*1.0276*1.0091*1.0182*1.0155*1.0184*1.0123</f>
        <v>3349.2038225215256</v>
      </c>
      <c r="AT34" s="258"/>
      <c r="AU34" s="22"/>
      <c r="AV34" s="80"/>
      <c r="AW34" s="80"/>
      <c r="AX34" s="80"/>
      <c r="AY34" s="139"/>
      <c r="AZ34" s="238"/>
      <c r="BA34" s="238">
        <v>523.33333333333326</v>
      </c>
      <c r="BB34" s="238">
        <f t="shared" si="15"/>
        <v>1619.68</v>
      </c>
      <c r="BC34" s="238">
        <f>742*1.0123</f>
        <v>751.12659999999994</v>
      </c>
      <c r="BD34" s="238">
        <f>(-Djurfrågor!I26)*1.0123</f>
        <v>-454.7473642257433</v>
      </c>
      <c r="BE34" s="238"/>
      <c r="BF34" s="238">
        <v>1000</v>
      </c>
      <c r="BG34" s="238">
        <v>1000</v>
      </c>
      <c r="BH34" s="238">
        <v>-3296.2278684765402</v>
      </c>
      <c r="BI34" s="241">
        <v>651.1</v>
      </c>
      <c r="BJ34" s="263">
        <f t="shared" si="0"/>
        <v>14816.28507458386</v>
      </c>
      <c r="BK34" s="18"/>
      <c r="BL34" s="18"/>
      <c r="BM34" s="18"/>
      <c r="BN34" s="18"/>
      <c r="BO34" s="18"/>
      <c r="BP34" s="3"/>
      <c r="BQ34" s="3"/>
      <c r="BR34" s="3"/>
      <c r="BS34" s="3"/>
      <c r="BT34" s="3"/>
      <c r="BU34" s="139" t="s">
        <v>22</v>
      </c>
      <c r="BV34" s="242">
        <v>2.4830927956070614E-2</v>
      </c>
      <c r="BW34" s="242">
        <v>0.23514192939354803</v>
      </c>
      <c r="BX34" s="242">
        <v>4.8275862068965517E-2</v>
      </c>
      <c r="BY34" s="243">
        <v>0.26039995321440784</v>
      </c>
      <c r="BZ34" s="242">
        <v>0.12089449617914774</v>
      </c>
      <c r="CA34" s="242">
        <v>4.702692595506798E-2</v>
      </c>
      <c r="CB34" s="242">
        <v>1.67E-2</v>
      </c>
      <c r="CC34" s="242">
        <v>2.0933333333333332E-2</v>
      </c>
      <c r="CD34" s="244"/>
      <c r="CE34" s="244"/>
      <c r="CF34" s="244"/>
      <c r="CG34" s="244"/>
      <c r="CH34" s="245">
        <f t="shared" si="1"/>
        <v>29390.760221976616</v>
      </c>
      <c r="CI34" s="245">
        <f t="shared" si="2"/>
        <v>41143.291074886889</v>
      </c>
      <c r="CJ34" s="245">
        <f t="shared" si="3"/>
        <v>6459.4184485848918</v>
      </c>
      <c r="CK34" s="245">
        <f t="shared" si="4"/>
        <v>11198.737597058365</v>
      </c>
      <c r="CL34" s="245">
        <f t="shared" si="5"/>
        <v>12584.615999625217</v>
      </c>
      <c r="CM34" s="245">
        <f t="shared" si="6"/>
        <v>2750.1506414502533</v>
      </c>
      <c r="CN34" s="245">
        <f t="shared" si="7"/>
        <v>861.82365410716511</v>
      </c>
      <c r="CO34" s="156">
        <f t="shared" si="8"/>
        <v>104388.79763768939</v>
      </c>
      <c r="CP34" s="139"/>
      <c r="CS34" s="162" t="s">
        <v>22</v>
      </c>
      <c r="CT34" s="164">
        <f t="shared" si="9"/>
        <v>14816.28507458386</v>
      </c>
      <c r="CU34" s="164"/>
      <c r="CV34" s="164">
        <f t="shared" si="12"/>
        <v>37900</v>
      </c>
      <c r="CW34" s="164">
        <f t="shared" si="10"/>
        <v>104388.79763768939</v>
      </c>
      <c r="CX34" s="164"/>
      <c r="CY34" s="219">
        <f t="shared" si="14"/>
        <v>157105.08271227326</v>
      </c>
      <c r="CZ34" s="221">
        <f t="shared" si="13"/>
        <v>5.2126787992935839E-2</v>
      </c>
      <c r="DA34" s="165"/>
      <c r="DB34" s="164"/>
      <c r="DC34" s="164">
        <v>4682.5004427797021</v>
      </c>
      <c r="DD34" s="163"/>
      <c r="DE34" s="58"/>
      <c r="DF34" s="58"/>
      <c r="DG34" s="76"/>
      <c r="DH34" s="77"/>
      <c r="DI34" s="78"/>
      <c r="DJ34" s="68"/>
      <c r="DK34" s="4"/>
      <c r="DM34" s="57"/>
      <c r="DN34" s="57"/>
      <c r="DO34" s="20"/>
      <c r="DP34" s="57"/>
      <c r="DQ34" s="58"/>
      <c r="DR34" s="58"/>
      <c r="DS34" s="58"/>
      <c r="DT34" s="58"/>
      <c r="DU34" s="41"/>
      <c r="DV34" s="40"/>
      <c r="DW34" s="42"/>
      <c r="DX34" s="31"/>
      <c r="DY34" s="20"/>
      <c r="DZ34" s="4"/>
      <c r="EA34" s="44"/>
      <c r="EB34" s="4"/>
      <c r="EC34" s="4"/>
      <c r="ED34" s="14"/>
      <c r="EE34" s="4"/>
      <c r="EG34" s="4"/>
      <c r="EH34" s="4"/>
      <c r="EI34" s="4"/>
      <c r="EJ34" s="4"/>
      <c r="EL34" s="4"/>
      <c r="EM34" s="14"/>
      <c r="EQ34" s="14"/>
      <c r="ER34" s="14"/>
      <c r="ES34" s="14"/>
      <c r="EW34" s="14"/>
      <c r="EX34" s="4"/>
      <c r="EZ34" s="10"/>
    </row>
    <row r="35" spans="1:156" ht="16.5" thickBot="1" x14ac:dyDescent="0.3">
      <c r="A35" s="98"/>
      <c r="B35" s="98"/>
      <c r="C35" s="98"/>
      <c r="D35" s="98"/>
      <c r="E35" s="98"/>
      <c r="I35" s="23"/>
      <c r="J35" s="14"/>
      <c r="L35" s="202"/>
      <c r="M35" s="203">
        <f>SUM(M14:M34)</f>
        <v>14680.228160290044</v>
      </c>
      <c r="N35" s="204">
        <f t="shared" ref="N35:Z35" si="17">SUM(N14:N34)</f>
        <v>951.76008861832474</v>
      </c>
      <c r="O35" s="204">
        <f t="shared" si="17"/>
        <v>0</v>
      </c>
      <c r="P35" s="204">
        <f t="shared" si="17"/>
        <v>122.78544797833716</v>
      </c>
      <c r="Q35" s="204">
        <f t="shared" si="17"/>
        <v>1227.8544797833763</v>
      </c>
      <c r="R35" s="204">
        <f>R23</f>
        <v>85</v>
      </c>
      <c r="S35" s="204">
        <f t="shared" si="17"/>
        <v>3000</v>
      </c>
      <c r="T35" s="204">
        <f t="shared" si="17"/>
        <v>12958.462037716028</v>
      </c>
      <c r="U35" s="204">
        <f t="shared" si="17"/>
        <v>388.75386113148124</v>
      </c>
      <c r="V35" s="204">
        <f t="shared" si="17"/>
        <v>-1930.3436210295858</v>
      </c>
      <c r="W35" s="204">
        <f t="shared" si="17"/>
        <v>0</v>
      </c>
      <c r="X35" s="204">
        <f t="shared" si="17"/>
        <v>0</v>
      </c>
      <c r="Y35" s="204">
        <f t="shared" si="17"/>
        <v>-1720</v>
      </c>
      <c r="Z35" s="204">
        <f t="shared" si="17"/>
        <v>-1150</v>
      </c>
      <c r="AA35" s="204">
        <f>SUM(AA14:AA34)</f>
        <v>9630.6349106486596</v>
      </c>
      <c r="AB35" s="204">
        <f>SUM(AB14:AB34)</f>
        <v>-30000</v>
      </c>
      <c r="AC35" s="204">
        <f>SUM(AC14:AC34)</f>
        <v>30000</v>
      </c>
      <c r="AG35" s="92"/>
      <c r="AH35" s="202"/>
      <c r="AI35" s="204">
        <f>SUM(AI14:AI34)</f>
        <v>7603.674225966899</v>
      </c>
      <c r="AJ35" s="204">
        <f>SUM(AJ14:AJ34)</f>
        <v>975.47840626219568</v>
      </c>
      <c r="AK35" s="204">
        <f>SUM(AK14:AK34)</f>
        <v>0</v>
      </c>
      <c r="AL35" s="204">
        <f t="shared" ref="AL35:AT35" si="18">SUM(AL14:AL34)</f>
        <v>5700</v>
      </c>
      <c r="AM35" s="204">
        <f t="shared" si="18"/>
        <v>0</v>
      </c>
      <c r="AN35" s="204">
        <f t="shared" si="18"/>
        <v>5558.241393250657</v>
      </c>
      <c r="AO35" s="205">
        <f t="shared" si="18"/>
        <v>2000</v>
      </c>
      <c r="AP35" s="204">
        <f t="shared" si="18"/>
        <v>16580.216943175867</v>
      </c>
      <c r="AQ35" s="204">
        <f t="shared" si="18"/>
        <v>0</v>
      </c>
      <c r="AR35" s="204">
        <f t="shared" si="18"/>
        <v>0</v>
      </c>
      <c r="AS35" s="204">
        <f t="shared" si="18"/>
        <v>8400.6432512091069</v>
      </c>
      <c r="AT35" s="204">
        <f t="shared" si="18"/>
        <v>1828.6213055273763</v>
      </c>
      <c r="AU35" s="22"/>
      <c r="AV35" s="80"/>
      <c r="AW35" s="80"/>
      <c r="AX35" s="80"/>
      <c r="AY35" s="80"/>
      <c r="AZ35" s="204"/>
      <c r="BA35" s="206">
        <v>25000</v>
      </c>
      <c r="BB35" s="204">
        <f t="shared" ref="BB35:BE35" si="19">SUM(BB14:BB34)</f>
        <v>36442.800000000003</v>
      </c>
      <c r="BC35" s="204">
        <f>SUM(BC14:BC34)</f>
        <v>14172.199999999997</v>
      </c>
      <c r="BD35" s="204">
        <f t="shared" si="19"/>
        <v>-8908.239999999998</v>
      </c>
      <c r="BE35" s="204">
        <f t="shared" si="19"/>
        <v>8908.24</v>
      </c>
      <c r="BF35" s="204">
        <f>SUM(BF14:BF34)</f>
        <v>5000</v>
      </c>
      <c r="BG35" s="206">
        <f>SUM(BG14:BG34)</f>
        <v>5000</v>
      </c>
      <c r="BH35" s="206">
        <f>SUM(BH14:BH34)</f>
        <v>-64999.999999999978</v>
      </c>
      <c r="BI35" s="206">
        <f>SUM(BI14:BI34)</f>
        <v>33999.999999999993</v>
      </c>
      <c r="BJ35" s="207">
        <f t="shared" si="0"/>
        <v>141507.01089052882</v>
      </c>
      <c r="BK35" s="26"/>
      <c r="BL35" s="27"/>
      <c r="BM35" s="27"/>
      <c r="BN35" s="27"/>
      <c r="BO35" s="27"/>
      <c r="BP35" s="3"/>
      <c r="BQ35" s="3"/>
      <c r="BR35" s="3"/>
      <c r="BS35" s="3"/>
      <c r="BT35" s="3"/>
      <c r="BU35" s="3"/>
      <c r="BV35" s="50">
        <f>SUM(BV14:BV34)</f>
        <v>1</v>
      </c>
      <c r="BW35" s="50">
        <f t="shared" ref="BW35:CB35" si="20">SUM(BW14:BW34)</f>
        <v>1</v>
      </c>
      <c r="BX35" s="50">
        <f t="shared" si="20"/>
        <v>0.99999999999999989</v>
      </c>
      <c r="BY35" s="50">
        <f t="shared" si="20"/>
        <v>0.99999987635502507</v>
      </c>
      <c r="BZ35" s="50">
        <f t="shared" si="20"/>
        <v>1</v>
      </c>
      <c r="CA35" s="50">
        <f t="shared" si="20"/>
        <v>1.0000000000000002</v>
      </c>
      <c r="CB35" s="50">
        <f t="shared" si="20"/>
        <v>1</v>
      </c>
      <c r="CC35" s="50">
        <f>SUM(CC14:CC34)</f>
        <v>1</v>
      </c>
      <c r="CD35" s="50"/>
      <c r="CE35" s="50"/>
      <c r="CF35" s="50"/>
      <c r="CG35" s="266"/>
      <c r="CH35" s="156">
        <f t="shared" ref="CH35:CM35" si="21">SUM(CH14:CH34)</f>
        <v>1183635.193737946</v>
      </c>
      <c r="CI35" s="156">
        <f t="shared" si="21"/>
        <v>174972.15907430503</v>
      </c>
      <c r="CJ35" s="156">
        <f t="shared" si="21"/>
        <v>133802.23929211561</v>
      </c>
      <c r="CK35" s="156">
        <f t="shared" si="21"/>
        <v>92632.319509926179</v>
      </c>
      <c r="CL35" s="156">
        <f t="shared" si="21"/>
        <v>267604.47858423123</v>
      </c>
      <c r="CM35" s="156">
        <f t="shared" si="21"/>
        <v>164679.67912875771</v>
      </c>
      <c r="CN35" s="156">
        <f>SUM(CN14:CN34)</f>
        <v>41169.919782189427</v>
      </c>
      <c r="CO35" s="156">
        <f>SUM(CO14:CO34)</f>
        <v>2058495.9891094707</v>
      </c>
      <c r="CS35" s="167"/>
      <c r="CT35" s="267">
        <f>SUM(CT14:CT34)</f>
        <v>141507.01089052879</v>
      </c>
      <c r="CU35" s="267">
        <f>SUM(CU14:CU34)</f>
        <v>18000</v>
      </c>
      <c r="CV35" s="267">
        <f>SUM(CV14:CV34)</f>
        <v>795900</v>
      </c>
      <c r="CW35" s="267">
        <f>SUM(CW14:CW34)</f>
        <v>2058495.9891094707</v>
      </c>
      <c r="CX35" s="267"/>
      <c r="CY35" s="267">
        <f>SUM(CY14:CY34)</f>
        <v>3013902.9999999991</v>
      </c>
      <c r="CZ35" s="268">
        <f t="shared" si="13"/>
        <v>1</v>
      </c>
      <c r="DA35" s="267"/>
      <c r="DB35" s="267"/>
      <c r="DC35" s="267">
        <v>89276.460000000021</v>
      </c>
      <c r="DD35" s="166"/>
      <c r="DE35" s="58"/>
      <c r="DF35" s="58"/>
      <c r="DG35" s="76"/>
      <c r="DH35" s="77"/>
      <c r="DI35" s="78"/>
      <c r="DJ35" s="68"/>
      <c r="DK35" s="4"/>
      <c r="DM35" s="57"/>
      <c r="DN35" s="57"/>
      <c r="DO35" s="20"/>
      <c r="DP35" s="57"/>
      <c r="DQ35" s="58"/>
      <c r="DR35" s="58"/>
      <c r="DS35" s="58"/>
      <c r="DT35" s="58"/>
      <c r="DU35" s="41"/>
      <c r="DV35" s="40"/>
      <c r="DW35" s="42"/>
      <c r="DX35" s="31"/>
      <c r="DY35" s="20"/>
      <c r="DZ35" s="4"/>
      <c r="EA35" s="43"/>
      <c r="EB35" s="4"/>
      <c r="EC35" s="4"/>
      <c r="ED35" s="14"/>
      <c r="EE35" s="4"/>
      <c r="EG35" s="4"/>
      <c r="EH35" s="4"/>
      <c r="EI35" s="4"/>
      <c r="EJ35" s="4"/>
      <c r="EL35" s="4"/>
      <c r="EM35" s="14"/>
      <c r="EQ35" s="14"/>
      <c r="ER35" s="14"/>
      <c r="ES35" s="14"/>
      <c r="EW35" s="14"/>
      <c r="EX35" s="4"/>
      <c r="EZ35" s="10"/>
    </row>
    <row r="36" spans="1:156" ht="16.5" thickBot="1" x14ac:dyDescent="0.3">
      <c r="A36" s="98"/>
      <c r="B36" s="98"/>
      <c r="C36" s="98"/>
      <c r="D36" s="98"/>
      <c r="E36" s="98"/>
      <c r="I36" s="23"/>
      <c r="J36" s="14"/>
      <c r="L36" s="202" t="s">
        <v>157</v>
      </c>
      <c r="M36" s="203">
        <f t="shared" ref="M36:AC36" si="22">SUM(M35:M35)</f>
        <v>14680.228160290044</v>
      </c>
      <c r="N36" s="204">
        <f t="shared" si="22"/>
        <v>951.76008861832474</v>
      </c>
      <c r="O36" s="204">
        <f t="shared" si="22"/>
        <v>0</v>
      </c>
      <c r="P36" s="204">
        <f t="shared" si="22"/>
        <v>122.78544797833716</v>
      </c>
      <c r="Q36" s="204">
        <f t="shared" si="22"/>
        <v>1227.8544797833763</v>
      </c>
      <c r="R36" s="204">
        <f t="shared" si="22"/>
        <v>85</v>
      </c>
      <c r="S36" s="204">
        <f t="shared" si="22"/>
        <v>3000</v>
      </c>
      <c r="T36" s="204">
        <f t="shared" si="22"/>
        <v>12958.462037716028</v>
      </c>
      <c r="U36" s="204">
        <f t="shared" si="22"/>
        <v>388.75386113148124</v>
      </c>
      <c r="V36" s="204">
        <f t="shared" si="22"/>
        <v>-1930.3436210295858</v>
      </c>
      <c r="W36" s="204">
        <f t="shared" si="22"/>
        <v>0</v>
      </c>
      <c r="X36" s="204">
        <f t="shared" si="22"/>
        <v>0</v>
      </c>
      <c r="Y36" s="204">
        <f t="shared" si="22"/>
        <v>-1720</v>
      </c>
      <c r="Z36" s="204">
        <f t="shared" si="22"/>
        <v>-1150</v>
      </c>
      <c r="AA36" s="204">
        <f t="shared" si="22"/>
        <v>9630.6349106486596</v>
      </c>
      <c r="AB36" s="204">
        <f t="shared" si="22"/>
        <v>-30000</v>
      </c>
      <c r="AC36" s="204">
        <f t="shared" si="22"/>
        <v>30000</v>
      </c>
      <c r="AG36" s="92"/>
      <c r="AH36" s="202" t="s">
        <v>157</v>
      </c>
      <c r="AI36" s="204">
        <f t="shared" ref="AI36:AT36" si="23">SUM(AI35:AI35)</f>
        <v>7603.674225966899</v>
      </c>
      <c r="AJ36" s="204">
        <f t="shared" si="23"/>
        <v>975.47840626219568</v>
      </c>
      <c r="AK36" s="204">
        <f t="shared" si="23"/>
        <v>0</v>
      </c>
      <c r="AL36" s="204">
        <f t="shared" si="23"/>
        <v>5700</v>
      </c>
      <c r="AM36" s="204">
        <f t="shared" si="23"/>
        <v>0</v>
      </c>
      <c r="AN36" s="204">
        <f t="shared" si="23"/>
        <v>5558.241393250657</v>
      </c>
      <c r="AO36" s="205">
        <f t="shared" si="23"/>
        <v>2000</v>
      </c>
      <c r="AP36" s="204">
        <f t="shared" si="23"/>
        <v>16580.216943175867</v>
      </c>
      <c r="AQ36" s="204">
        <f t="shared" si="23"/>
        <v>0</v>
      </c>
      <c r="AR36" s="204">
        <f t="shared" si="23"/>
        <v>0</v>
      </c>
      <c r="AS36" s="204">
        <f t="shared" si="23"/>
        <v>8400.6432512091069</v>
      </c>
      <c r="AT36" s="204">
        <f t="shared" si="23"/>
        <v>1828.6213055273763</v>
      </c>
      <c r="AU36" s="22"/>
      <c r="AV36" s="80"/>
      <c r="AW36" s="80"/>
      <c r="AX36" s="80"/>
      <c r="AY36" s="80"/>
      <c r="AZ36" s="204"/>
      <c r="BA36" s="206">
        <v>25000</v>
      </c>
      <c r="BB36" s="204">
        <f t="shared" ref="BB36:BJ36" si="24">SUM(BB35:BB35)</f>
        <v>36442.800000000003</v>
      </c>
      <c r="BC36" s="204">
        <f t="shared" si="24"/>
        <v>14172.199999999997</v>
      </c>
      <c r="BD36" s="204">
        <f t="shared" si="24"/>
        <v>-8908.239999999998</v>
      </c>
      <c r="BE36" s="204">
        <f t="shared" si="24"/>
        <v>8908.24</v>
      </c>
      <c r="BF36" s="204">
        <f t="shared" si="24"/>
        <v>5000</v>
      </c>
      <c r="BG36" s="206">
        <f t="shared" si="24"/>
        <v>5000</v>
      </c>
      <c r="BH36" s="206">
        <f t="shared" si="24"/>
        <v>-64999.999999999978</v>
      </c>
      <c r="BI36" s="206">
        <f t="shared" si="24"/>
        <v>33999.999999999993</v>
      </c>
      <c r="BJ36" s="207">
        <f t="shared" si="24"/>
        <v>141507.01089052882</v>
      </c>
      <c r="BK36" s="26"/>
      <c r="BL36" s="27"/>
      <c r="BM36" s="27"/>
      <c r="BN36" s="27"/>
      <c r="BO36" s="27"/>
      <c r="BP36" s="3"/>
      <c r="BQ36" s="3"/>
      <c r="BR36" s="3"/>
      <c r="BS36" s="3"/>
      <c r="BT36" s="3"/>
      <c r="BU36" s="3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S36" s="167"/>
      <c r="CT36" s="168"/>
      <c r="CU36" s="168"/>
      <c r="CV36" s="168"/>
      <c r="CW36" s="168"/>
      <c r="CX36" s="168"/>
      <c r="CY36" s="220"/>
      <c r="CZ36" s="220"/>
      <c r="DA36" s="168"/>
      <c r="DB36" s="169"/>
      <c r="DC36" s="169"/>
      <c r="DD36" s="166"/>
      <c r="DF36" s="58"/>
      <c r="DG36" s="76"/>
      <c r="DH36" s="77"/>
      <c r="DI36" s="78"/>
      <c r="DJ36" s="68"/>
      <c r="DK36" s="4"/>
      <c r="DM36" s="57"/>
      <c r="DN36" s="57"/>
      <c r="DO36" s="20"/>
      <c r="DP36" s="57"/>
      <c r="DQ36" s="58"/>
      <c r="DR36" s="58"/>
      <c r="DS36" s="58"/>
      <c r="DT36" s="58"/>
      <c r="DU36" s="41"/>
      <c r="DV36" s="40"/>
      <c r="DW36" s="42"/>
      <c r="DX36" s="31"/>
      <c r="DY36" s="20"/>
      <c r="DZ36" s="4"/>
      <c r="EA36" s="44"/>
      <c r="EB36" s="4"/>
      <c r="EC36" s="4"/>
      <c r="ED36" s="14"/>
      <c r="EE36" s="4"/>
      <c r="EG36" s="4"/>
      <c r="EH36" s="4"/>
      <c r="EI36" s="4"/>
      <c r="EJ36" s="4"/>
      <c r="EL36" s="4"/>
      <c r="EM36" s="14"/>
      <c r="EQ36" s="14"/>
      <c r="ER36" s="14"/>
      <c r="ES36" s="14"/>
      <c r="EW36" s="14"/>
      <c r="EX36" s="4"/>
      <c r="EZ36" s="10"/>
    </row>
    <row r="37" spans="1:156" ht="16.5" thickBot="1" x14ac:dyDescent="0.3">
      <c r="A37" s="98"/>
      <c r="B37" s="98"/>
      <c r="C37" s="98"/>
      <c r="D37" s="98"/>
      <c r="E37" s="98"/>
      <c r="I37" s="23"/>
      <c r="J37" s="14"/>
      <c r="Y37" s="86"/>
      <c r="Z37" s="86" t="s">
        <v>101</v>
      </c>
      <c r="AG37" s="92"/>
      <c r="AH37" s="3"/>
      <c r="AU37" s="22"/>
      <c r="AV37" s="80"/>
      <c r="AW37" s="80"/>
      <c r="AX37" s="80"/>
      <c r="AY37" s="80"/>
      <c r="BG37" s="269"/>
      <c r="BH37" s="269"/>
      <c r="BP37" s="3"/>
      <c r="BQ37" s="3"/>
      <c r="BR37" s="3"/>
      <c r="BS37" s="3"/>
      <c r="BT37" s="3"/>
      <c r="BU37" s="3"/>
      <c r="BV37" s="140" t="s">
        <v>28</v>
      </c>
      <c r="BW37" s="140"/>
      <c r="BX37" s="140"/>
      <c r="BY37" s="140"/>
      <c r="BZ37" s="157">
        <f>C26</f>
        <v>2058495.989109471</v>
      </c>
      <c r="CA37" s="12"/>
      <c r="CB37" s="12"/>
      <c r="CC37" s="12"/>
      <c r="CD37" s="12"/>
      <c r="CE37" s="12"/>
      <c r="CF37" s="12"/>
      <c r="CG37" s="149"/>
      <c r="CS37" s="121"/>
      <c r="CT37" s="121"/>
      <c r="CU37" s="121"/>
      <c r="CV37" s="121"/>
      <c r="CW37" s="121"/>
      <c r="CX37" s="121"/>
      <c r="CY37" s="121"/>
      <c r="CZ37" s="121"/>
      <c r="DA37" s="121"/>
      <c r="DB37" s="159"/>
      <c r="DC37" s="159"/>
      <c r="DD37" s="159"/>
      <c r="DF37" s="58"/>
      <c r="DG37" s="76"/>
      <c r="DH37" s="77"/>
      <c r="DI37" s="78"/>
      <c r="DJ37" s="68"/>
      <c r="DK37" s="4"/>
      <c r="DM37" s="57"/>
      <c r="DN37" s="57"/>
      <c r="DO37" s="20"/>
      <c r="DP37" s="57"/>
      <c r="DQ37" s="58"/>
      <c r="DR37" s="58"/>
      <c r="DS37" s="58"/>
      <c r="DT37" s="58"/>
      <c r="DU37" s="41"/>
      <c r="DV37" s="40"/>
      <c r="DW37" s="42"/>
      <c r="DX37" s="31"/>
      <c r="DY37" s="20"/>
      <c r="DZ37" s="4"/>
      <c r="EA37" s="44"/>
      <c r="EB37" s="4"/>
      <c r="EC37" s="4"/>
      <c r="ED37" s="14"/>
      <c r="EE37" s="4"/>
      <c r="EG37" s="4"/>
      <c r="EH37" s="4"/>
      <c r="EI37" s="4"/>
      <c r="EJ37" s="4"/>
      <c r="EL37" s="4"/>
      <c r="EM37" s="14"/>
      <c r="EQ37" s="14"/>
      <c r="ER37" s="14"/>
      <c r="ES37" s="14"/>
      <c r="EW37" s="14"/>
      <c r="EX37" s="4"/>
      <c r="EZ37" s="10"/>
    </row>
    <row r="38" spans="1:156" x14ac:dyDescent="0.25">
      <c r="A38" s="98" t="s">
        <v>131</v>
      </c>
      <c r="B38" s="98">
        <v>1.0123</v>
      </c>
      <c r="C38" s="98"/>
      <c r="D38" s="98"/>
      <c r="E38" s="98"/>
      <c r="I38" s="23"/>
      <c r="J38" s="14"/>
      <c r="Y38" s="86"/>
      <c r="Z38" s="86" t="s">
        <v>97</v>
      </c>
      <c r="AG38" s="92"/>
      <c r="AH38" s="3"/>
      <c r="AU38" s="22"/>
      <c r="AW38" s="80"/>
      <c r="AX38" s="80"/>
      <c r="AY38" s="80"/>
      <c r="BP38" s="3"/>
      <c r="BQ38" s="3"/>
      <c r="BR38" s="3"/>
      <c r="BS38" s="3"/>
      <c r="BT38" s="3"/>
      <c r="BU38" s="3"/>
      <c r="BV38" s="148" t="s">
        <v>29</v>
      </c>
      <c r="BW38" s="148"/>
      <c r="BX38" s="195" t="s">
        <v>30</v>
      </c>
      <c r="BY38" s="121"/>
      <c r="BZ38" s="158"/>
      <c r="CA38" s="11"/>
      <c r="CB38" s="11"/>
      <c r="CC38" s="88"/>
      <c r="CD38" s="88"/>
      <c r="CS38" s="121" t="s">
        <v>81</v>
      </c>
      <c r="CT38" s="121"/>
      <c r="CU38" s="121"/>
      <c r="CV38" s="121"/>
      <c r="CW38" s="121"/>
      <c r="CX38" s="121"/>
      <c r="CY38" s="121">
        <f>-C15</f>
        <v>2788</v>
      </c>
      <c r="CZ38" s="121"/>
      <c r="DA38" s="121"/>
      <c r="DB38" s="159"/>
      <c r="DC38" s="159"/>
      <c r="DD38" s="159"/>
      <c r="DF38" s="58"/>
      <c r="DG38" s="76"/>
      <c r="DH38" s="77"/>
      <c r="DI38" s="78"/>
      <c r="DJ38" s="68"/>
      <c r="DK38" s="4"/>
      <c r="DM38" s="57"/>
      <c r="DN38" s="57"/>
      <c r="DO38" s="20"/>
      <c r="DP38" s="57"/>
      <c r="DQ38" s="58"/>
      <c r="DR38" s="58"/>
      <c r="DS38" s="58"/>
      <c r="DT38" s="58"/>
      <c r="DU38" s="41"/>
      <c r="DV38" s="40"/>
      <c r="DW38" s="42"/>
      <c r="DX38" s="31"/>
      <c r="DY38" s="20"/>
      <c r="DZ38" s="4"/>
      <c r="EA38" s="3"/>
      <c r="EB38" s="4"/>
      <c r="EC38" s="4"/>
      <c r="ED38" s="14"/>
      <c r="EE38" s="4"/>
      <c r="EG38" s="4"/>
      <c r="EH38" s="4"/>
      <c r="EI38" s="4"/>
      <c r="EJ38" s="4"/>
      <c r="EL38" s="4"/>
      <c r="EM38" s="14"/>
      <c r="EQ38" s="14"/>
      <c r="ER38" s="14"/>
      <c r="ES38" s="14"/>
      <c r="EW38" s="14"/>
      <c r="EX38" s="4"/>
      <c r="EZ38" s="10"/>
    </row>
    <row r="39" spans="1:156" ht="16.5" thickBot="1" x14ac:dyDescent="0.3">
      <c r="A39" s="98"/>
      <c r="B39" s="98"/>
      <c r="C39" s="98"/>
      <c r="D39" s="98"/>
      <c r="E39" s="98"/>
      <c r="I39" s="23"/>
      <c r="J39" s="14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232"/>
      <c r="Z39" s="232" t="s">
        <v>98</v>
      </c>
      <c r="AA39" s="83"/>
      <c r="AB39" s="83"/>
      <c r="AC39" s="83"/>
      <c r="AG39" s="92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22"/>
      <c r="AW39" s="80"/>
      <c r="AX39" s="80"/>
      <c r="AY39" s="84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P39" s="3"/>
      <c r="BQ39" s="3"/>
      <c r="BR39" s="3"/>
      <c r="BS39" s="3"/>
      <c r="BT39" s="3"/>
      <c r="BU39" s="3"/>
      <c r="BV39" s="148" t="s">
        <v>31</v>
      </c>
      <c r="BW39" s="148"/>
      <c r="BX39" s="196">
        <v>0.57499999999999996</v>
      </c>
      <c r="BY39" s="121"/>
      <c r="BZ39" s="158">
        <f>BX39*$BZ$37</f>
        <v>1183635.1937379458</v>
      </c>
      <c r="CA39" s="6"/>
      <c r="CB39" s="6"/>
      <c r="CC39" s="7"/>
      <c r="CD39" s="89"/>
      <c r="CS39" s="121" t="s">
        <v>23</v>
      </c>
      <c r="CT39" s="121"/>
      <c r="CU39" s="121"/>
      <c r="CV39" s="121"/>
      <c r="CW39" s="140"/>
      <c r="CX39" s="121"/>
      <c r="CY39" s="159"/>
      <c r="CZ39" s="121"/>
      <c r="DA39" s="121"/>
      <c r="DB39" s="159"/>
      <c r="DC39" s="159"/>
      <c r="DD39" s="159"/>
      <c r="DF39" s="58"/>
      <c r="DG39" s="76"/>
      <c r="DH39" s="77"/>
      <c r="DI39" s="78"/>
      <c r="DJ39" s="68"/>
      <c r="DK39" s="4"/>
      <c r="DM39" s="57"/>
      <c r="DN39" s="57"/>
      <c r="DO39" s="20"/>
      <c r="DP39" s="57"/>
      <c r="DQ39" s="58"/>
      <c r="DR39" s="58"/>
      <c r="DS39" s="58"/>
      <c r="DT39" s="58"/>
      <c r="DU39" s="41"/>
      <c r="DV39" s="40"/>
      <c r="DW39" s="42"/>
      <c r="DX39" s="31"/>
      <c r="DY39" s="20"/>
      <c r="DZ39" s="4"/>
      <c r="EA39" s="3"/>
      <c r="EB39" s="4"/>
      <c r="EC39" s="4"/>
      <c r="ED39" s="14"/>
      <c r="EE39" s="4"/>
      <c r="EG39" s="4"/>
      <c r="EH39" s="4"/>
      <c r="EI39" s="4"/>
      <c r="EJ39" s="4"/>
      <c r="EL39" s="4"/>
      <c r="EM39" s="14"/>
      <c r="EQ39" s="14"/>
      <c r="ER39" s="14"/>
      <c r="ES39" s="14"/>
      <c r="EW39" s="14"/>
      <c r="EX39" s="4"/>
      <c r="EZ39" s="10"/>
    </row>
    <row r="40" spans="1:156" x14ac:dyDescent="0.25">
      <c r="A40" s="98"/>
      <c r="B40" s="98"/>
      <c r="C40" s="98"/>
      <c r="D40" s="98"/>
      <c r="E40" s="98"/>
      <c r="I40" s="23"/>
      <c r="J40" s="138"/>
      <c r="AG40" s="92"/>
      <c r="AU40" s="22"/>
      <c r="AW40" s="80"/>
      <c r="AX40" s="80"/>
      <c r="AY40" s="80"/>
      <c r="BK40" s="12"/>
      <c r="BL40" s="12"/>
      <c r="BM40" s="12"/>
      <c r="BN40" s="12"/>
      <c r="BO40" s="12"/>
      <c r="BP40" s="3"/>
      <c r="BQ40" s="3"/>
      <c r="BR40" s="3"/>
      <c r="BS40" s="3"/>
      <c r="BT40" s="3"/>
      <c r="BU40" s="3"/>
      <c r="BV40" s="148"/>
      <c r="BW40" s="148"/>
      <c r="BX40" s="196"/>
      <c r="BY40" s="121"/>
      <c r="BZ40" s="158"/>
      <c r="CA40" s="6"/>
      <c r="CB40" s="6"/>
      <c r="CC40" s="7"/>
      <c r="CD40" s="89"/>
      <c r="CS40" s="121" t="s">
        <v>134</v>
      </c>
      <c r="CT40" s="121"/>
      <c r="CU40" s="121"/>
      <c r="CV40" s="121"/>
      <c r="CW40" s="140"/>
      <c r="CX40" s="121"/>
      <c r="CY40" s="159"/>
      <c r="CZ40" s="121"/>
      <c r="DA40" s="121"/>
      <c r="DB40" s="159"/>
      <c r="DC40" s="159"/>
      <c r="DD40" s="157"/>
      <c r="DG40" s="76"/>
      <c r="DH40" s="77"/>
      <c r="DI40" s="78"/>
      <c r="DJ40" s="68"/>
      <c r="DK40" s="4"/>
      <c r="DM40" s="57"/>
      <c r="DN40" s="4"/>
      <c r="DO40" s="20"/>
      <c r="DP40" s="4"/>
      <c r="DQ40" s="4"/>
      <c r="DR40" s="4"/>
      <c r="DS40" s="4"/>
      <c r="DT40" s="58"/>
      <c r="DU40" s="41"/>
      <c r="DV40" s="40"/>
      <c r="DW40" s="42"/>
      <c r="DX40" s="31"/>
      <c r="DY40" s="20"/>
      <c r="DZ40" s="4"/>
      <c r="EA40" s="3"/>
      <c r="EB40" s="4"/>
      <c r="EC40" s="4"/>
      <c r="ED40" s="14"/>
      <c r="EE40" s="4"/>
      <c r="EG40" s="4"/>
      <c r="EH40" s="4"/>
      <c r="EI40" s="4"/>
      <c r="EJ40" s="4"/>
      <c r="EL40" s="4"/>
      <c r="EM40" s="14"/>
      <c r="EQ40" s="14"/>
      <c r="ER40" s="14"/>
      <c r="ES40" s="14"/>
      <c r="EW40" s="14"/>
      <c r="EX40" s="4"/>
      <c r="EZ40" s="10"/>
    </row>
    <row r="41" spans="1:156" ht="16.5" thickBot="1" x14ac:dyDescent="0.3">
      <c r="A41" s="98"/>
      <c r="B41" s="98"/>
      <c r="C41" s="98"/>
      <c r="D41" s="98"/>
      <c r="E41" s="98"/>
      <c r="I41" s="23"/>
      <c r="J41" s="4"/>
      <c r="AG41" s="92"/>
      <c r="AU41" s="22"/>
      <c r="AW41" s="80"/>
      <c r="AX41" s="80"/>
      <c r="AY41" s="80"/>
      <c r="BP41" s="3"/>
      <c r="BQ41" s="3"/>
      <c r="BR41" s="3"/>
      <c r="BS41" s="3"/>
      <c r="BT41" s="3"/>
      <c r="BU41" s="3"/>
      <c r="BV41" s="148" t="s">
        <v>32</v>
      </c>
      <c r="BW41" s="148"/>
      <c r="BX41" s="196">
        <v>8.5000000000000006E-2</v>
      </c>
      <c r="BY41" s="121"/>
      <c r="BZ41" s="158">
        <f t="shared" ref="BZ41:BZ47" si="25">BX41*$BZ$37</f>
        <v>174972.15907430503</v>
      </c>
      <c r="CA41" s="8"/>
      <c r="CB41" s="8"/>
      <c r="CC41" s="7"/>
      <c r="CD41" s="89"/>
      <c r="CE41" s="11"/>
      <c r="CF41" s="11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60" t="s">
        <v>0</v>
      </c>
      <c r="CT41" s="160"/>
      <c r="CU41" s="160"/>
      <c r="CV41" s="160"/>
      <c r="CW41" s="160"/>
      <c r="CX41" s="160"/>
      <c r="CY41" s="161">
        <f>SUM(CY35+CY38+CY39+CY40)</f>
        <v>3016690.9999999991</v>
      </c>
      <c r="CZ41" s="160"/>
      <c r="DA41" s="160"/>
      <c r="DB41" s="161"/>
      <c r="DC41" s="161"/>
      <c r="DD41" s="161"/>
      <c r="DE41" s="48"/>
      <c r="DG41" s="76"/>
      <c r="DH41" s="77"/>
      <c r="DI41" s="78"/>
      <c r="DJ41" s="68"/>
      <c r="DK41" s="4"/>
      <c r="DT41" s="58"/>
      <c r="DU41" s="41"/>
      <c r="DV41" s="41"/>
      <c r="DW41" s="42"/>
      <c r="DX41" s="31"/>
      <c r="DY41" s="20"/>
      <c r="DZ41" s="4"/>
      <c r="EA41" s="4"/>
      <c r="EB41" s="4"/>
      <c r="EC41" s="4"/>
      <c r="ED41" s="14"/>
      <c r="EE41" s="4"/>
      <c r="EF41" s="14"/>
      <c r="EG41" s="4"/>
      <c r="EH41" s="4"/>
      <c r="EI41" s="4"/>
      <c r="EJ41" s="4"/>
      <c r="EL41" s="4"/>
      <c r="EM41" s="14"/>
      <c r="EQ41" s="14"/>
      <c r="ER41" s="14"/>
      <c r="ES41" s="14"/>
      <c r="EW41" s="14"/>
      <c r="EX41" s="4"/>
      <c r="EZ41" s="50"/>
    </row>
    <row r="42" spans="1:156" ht="16.5" thickTop="1" x14ac:dyDescent="0.25">
      <c r="I42" s="23"/>
      <c r="J42" s="4"/>
      <c r="AG42" s="92"/>
      <c r="AU42" s="22"/>
      <c r="AW42" s="80"/>
      <c r="AX42" s="80"/>
      <c r="AY42" s="80"/>
      <c r="BP42" s="3"/>
      <c r="BQ42" s="3"/>
      <c r="BR42" s="3"/>
      <c r="BS42" s="3"/>
      <c r="BT42" s="3"/>
      <c r="BU42" s="3"/>
      <c r="BV42" s="148" t="s">
        <v>33</v>
      </c>
      <c r="BW42" s="148"/>
      <c r="BX42" s="197">
        <v>6.5000000000000002E-2</v>
      </c>
      <c r="BY42" s="121"/>
      <c r="BZ42" s="158">
        <f t="shared" si="25"/>
        <v>133802.23929211561</v>
      </c>
      <c r="CA42" s="6"/>
      <c r="CB42" s="6"/>
      <c r="CC42" s="7"/>
      <c r="CD42" s="89"/>
      <c r="CE42" s="6"/>
      <c r="CF42" s="6"/>
      <c r="CS42" s="121"/>
      <c r="CT42" s="121"/>
      <c r="CU42" s="121"/>
      <c r="CV42" s="121"/>
      <c r="CW42" s="121"/>
      <c r="CX42" s="121"/>
      <c r="CY42" s="121"/>
      <c r="CZ42" s="121"/>
      <c r="DA42" s="121"/>
      <c r="DB42" s="159"/>
      <c r="DC42" s="159"/>
      <c r="DD42" s="159"/>
      <c r="DG42" s="71"/>
      <c r="DH42" s="72"/>
      <c r="DI42" s="72"/>
      <c r="DK42" s="4"/>
      <c r="DT42" s="4"/>
      <c r="DU42" s="30"/>
      <c r="DV42" s="29"/>
      <c r="DW42" s="36"/>
      <c r="DX42" s="36"/>
      <c r="DY42" s="3"/>
      <c r="DZ42" s="3"/>
      <c r="EA42" s="3"/>
      <c r="EB42" s="3"/>
      <c r="EC42" s="3"/>
      <c r="ED42" s="3"/>
      <c r="EE42" s="3"/>
      <c r="EF42" s="3"/>
      <c r="EQ42" s="14"/>
      <c r="EW42" s="14"/>
      <c r="EX42" s="4"/>
    </row>
    <row r="43" spans="1:156" x14ac:dyDescent="0.25">
      <c r="I43" s="23"/>
      <c r="J43" s="4"/>
      <c r="AG43" s="92"/>
      <c r="AU43" s="22"/>
      <c r="AW43" s="80"/>
      <c r="AX43" s="80"/>
      <c r="AY43" s="80"/>
      <c r="BP43" s="3"/>
      <c r="BQ43" s="3"/>
      <c r="BR43" s="3"/>
      <c r="BS43" s="3"/>
      <c r="BT43" s="3"/>
      <c r="BU43" s="3"/>
      <c r="BV43" s="148" t="s">
        <v>34</v>
      </c>
      <c r="BW43" s="148"/>
      <c r="BX43" s="196">
        <v>0</v>
      </c>
      <c r="BY43" s="121"/>
      <c r="BZ43" s="158">
        <f t="shared" si="25"/>
        <v>0</v>
      </c>
      <c r="CA43" s="8"/>
      <c r="CB43" s="8"/>
      <c r="CC43" s="9"/>
      <c r="CD43" s="90"/>
      <c r="CE43" s="6"/>
      <c r="CF43" s="6"/>
      <c r="DG43" s="71"/>
      <c r="DH43" s="72"/>
      <c r="DI43" s="72"/>
      <c r="EQ43" s="14"/>
      <c r="ES43" s="14"/>
      <c r="EW43" s="14"/>
      <c r="EX43" s="4"/>
    </row>
    <row r="44" spans="1:156" x14ac:dyDescent="0.25">
      <c r="I44" s="23"/>
      <c r="J44" s="4"/>
      <c r="AG44" s="92"/>
      <c r="AS44" s="4"/>
      <c r="AU44" s="22"/>
      <c r="AW44" s="80"/>
      <c r="AX44" s="80"/>
      <c r="AY44" s="80"/>
      <c r="BP44" s="3"/>
      <c r="BQ44" s="3"/>
      <c r="BR44" s="3"/>
      <c r="BS44" s="3"/>
      <c r="BT44" s="3"/>
      <c r="BU44" s="3"/>
      <c r="BV44" s="148" t="s">
        <v>35</v>
      </c>
      <c r="BW44" s="148"/>
      <c r="BX44" s="196">
        <v>4.4999999999999998E-2</v>
      </c>
      <c r="BY44" s="121"/>
      <c r="BZ44" s="158">
        <f t="shared" si="25"/>
        <v>92632.319509926194</v>
      </c>
      <c r="CA44" s="6"/>
      <c r="CB44" s="8"/>
      <c r="CC44" s="9"/>
      <c r="CD44" s="91"/>
      <c r="CE44" s="8"/>
      <c r="CF44" s="8"/>
      <c r="DG44" s="71"/>
      <c r="DH44" s="72"/>
      <c r="DI44" s="78"/>
      <c r="EQ44" s="14"/>
      <c r="ES44" s="14"/>
      <c r="EW44" s="14"/>
      <c r="EX44" s="4"/>
    </row>
    <row r="45" spans="1:156" x14ac:dyDescent="0.25">
      <c r="I45" s="23"/>
      <c r="J45" s="4"/>
      <c r="K45" s="4"/>
      <c r="AG45" s="92"/>
      <c r="AU45" s="22"/>
      <c r="AW45" s="80"/>
      <c r="AX45" s="80"/>
      <c r="AY45" s="80"/>
      <c r="BP45" s="3"/>
      <c r="BQ45" s="3"/>
      <c r="BR45" s="3"/>
      <c r="BS45" s="3"/>
      <c r="BT45" s="3"/>
      <c r="BU45" s="3"/>
      <c r="BV45" s="148" t="s">
        <v>36</v>
      </c>
      <c r="BW45" s="148"/>
      <c r="BX45" s="196">
        <v>0.13</v>
      </c>
      <c r="BY45" s="121"/>
      <c r="BZ45" s="158">
        <f t="shared" si="25"/>
        <v>267604.47858423123</v>
      </c>
      <c r="CA45" s="6"/>
      <c r="CB45" s="8"/>
      <c r="CC45" s="9"/>
      <c r="CD45" s="91"/>
      <c r="CE45" s="6"/>
      <c r="CF45" s="6"/>
      <c r="DG45" s="71"/>
      <c r="DH45" s="72"/>
      <c r="DI45" s="72"/>
      <c r="EQ45" s="14"/>
      <c r="ES45" s="14"/>
      <c r="EW45" s="14"/>
      <c r="EX45" s="4"/>
    </row>
    <row r="46" spans="1:156" x14ac:dyDescent="0.25">
      <c r="I46" s="23"/>
      <c r="J46" s="4"/>
      <c r="K46" s="4"/>
      <c r="AG46" s="92"/>
      <c r="AU46" s="22"/>
      <c r="AW46" s="80"/>
      <c r="AX46" s="80"/>
      <c r="AY46" s="80"/>
      <c r="BP46" s="3"/>
      <c r="BQ46" s="3"/>
      <c r="BR46" s="3"/>
      <c r="BS46" s="3"/>
      <c r="BT46" s="3"/>
      <c r="BU46" s="3"/>
      <c r="BV46" s="148" t="s">
        <v>93</v>
      </c>
      <c r="BW46" s="148"/>
      <c r="BX46" s="196">
        <v>0.08</v>
      </c>
      <c r="BY46" s="121"/>
      <c r="BZ46" s="158">
        <f t="shared" si="25"/>
        <v>164679.67912875768</v>
      </c>
      <c r="CA46" s="8"/>
      <c r="CB46" s="8"/>
      <c r="CC46" s="7"/>
      <c r="CD46" s="89"/>
      <c r="CE46" s="8"/>
      <c r="CF46" s="8"/>
      <c r="DG46" s="71"/>
      <c r="DH46" s="72"/>
      <c r="DI46" s="71"/>
      <c r="EQ46" s="14"/>
      <c r="ES46" s="14"/>
      <c r="EW46" s="14"/>
      <c r="EX46" s="4"/>
    </row>
    <row r="47" spans="1:156" s="12" customFormat="1" x14ac:dyDescent="0.25">
      <c r="J47" s="48"/>
      <c r="K47" s="48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96"/>
      <c r="Z47" s="96"/>
      <c r="AA47" s="96"/>
      <c r="AB47" s="96"/>
      <c r="AC47" s="96"/>
      <c r="AD47" s="96"/>
      <c r="AE47" s="96"/>
      <c r="AF47" s="96"/>
      <c r="AG47" s="92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22"/>
      <c r="AV47" s="96"/>
      <c r="AW47" s="80"/>
      <c r="AX47" s="80"/>
      <c r="AY47" s="80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2"/>
      <c r="BL47" s="2"/>
      <c r="BM47" s="2"/>
      <c r="BN47" s="2"/>
      <c r="BO47" s="2"/>
      <c r="BP47" s="3"/>
      <c r="BQ47" s="3"/>
      <c r="BR47" s="3"/>
      <c r="BS47" s="3"/>
      <c r="BT47" s="3"/>
      <c r="BU47" s="3"/>
      <c r="BV47" s="154" t="s">
        <v>94</v>
      </c>
      <c r="BW47" s="154"/>
      <c r="BX47" s="198">
        <v>0.02</v>
      </c>
      <c r="BY47" s="121"/>
      <c r="BZ47" s="158">
        <f t="shared" si="25"/>
        <v>41169.919782189419</v>
      </c>
      <c r="CA47" s="2"/>
      <c r="CB47" s="2"/>
      <c r="CC47" s="2"/>
      <c r="CD47" s="2"/>
      <c r="CE47" s="8"/>
      <c r="CF47" s="8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14"/>
      <c r="DC47" s="14"/>
      <c r="DD47" s="14"/>
      <c r="DE47" s="4"/>
      <c r="DF47" s="48"/>
      <c r="DG47" s="69"/>
      <c r="DH47" s="66"/>
      <c r="DI47" s="66"/>
      <c r="DJ47" s="66"/>
      <c r="DK47" s="60"/>
      <c r="DL47" s="48"/>
      <c r="DM47" s="60"/>
      <c r="DN47" s="60"/>
      <c r="DO47" s="60"/>
      <c r="DP47" s="60"/>
      <c r="DQ47" s="60"/>
      <c r="DR47" s="60"/>
      <c r="DS47" s="60"/>
      <c r="DT47" s="60"/>
      <c r="DU47" s="48"/>
      <c r="DV47" s="60"/>
      <c r="DW47" s="5"/>
      <c r="EG47" s="5"/>
      <c r="EH47" s="5"/>
      <c r="EI47" s="5"/>
      <c r="EJ47" s="5"/>
      <c r="EK47" s="5"/>
      <c r="EL47" s="5"/>
      <c r="EQ47" s="60"/>
      <c r="ES47" s="60"/>
      <c r="EU47" s="5"/>
      <c r="EV47" s="5"/>
      <c r="EW47" s="60"/>
      <c r="EX47" s="48"/>
      <c r="EY47" s="60"/>
    </row>
    <row r="48" spans="1:156" ht="16.5" thickBot="1" x14ac:dyDescent="0.3">
      <c r="AG48" s="92"/>
      <c r="AU48" s="22"/>
      <c r="AW48" s="80"/>
      <c r="AX48" s="80"/>
      <c r="AY48" s="80"/>
      <c r="BP48" s="3"/>
      <c r="BQ48" s="3"/>
      <c r="BR48" s="3"/>
      <c r="BS48" s="3"/>
      <c r="BT48" s="3"/>
      <c r="BU48" s="3"/>
      <c r="BV48" s="155"/>
      <c r="BW48" s="155"/>
      <c r="BX48" s="199">
        <f>SUM(BX39:BX47)</f>
        <v>0.99999999999999989</v>
      </c>
      <c r="BY48" s="139"/>
      <c r="BZ48" s="156">
        <f>SUM(BZ39:BZ47)</f>
        <v>2058495.9891094712</v>
      </c>
      <c r="CC48" s="14"/>
      <c r="CE48" s="8"/>
      <c r="CF48" s="8"/>
    </row>
    <row r="49" spans="33:108" ht="16.5" thickBot="1" x14ac:dyDescent="0.3">
      <c r="AG49" s="92"/>
      <c r="AU49" s="22"/>
      <c r="AW49" s="80"/>
      <c r="AX49" s="80"/>
      <c r="AY49" s="80"/>
      <c r="BP49" s="3"/>
      <c r="BQ49" s="3"/>
      <c r="BR49" s="3"/>
      <c r="BU49" s="193"/>
      <c r="BV49" s="150"/>
      <c r="BW49" s="150"/>
      <c r="BX49" s="150"/>
      <c r="BY49" s="150"/>
      <c r="BZ49" s="150"/>
      <c r="CA49" s="150"/>
      <c r="CB49" s="150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S49" s="150"/>
      <c r="CT49" s="150"/>
      <c r="CU49" s="150"/>
      <c r="CV49" s="150"/>
      <c r="CW49" s="150"/>
      <c r="CX49" s="150"/>
      <c r="CY49" s="150"/>
      <c r="CZ49" s="150"/>
      <c r="DA49" s="150"/>
      <c r="DB49" s="249"/>
      <c r="DC49" s="249"/>
      <c r="DD49" s="249"/>
    </row>
    <row r="50" spans="33:108" ht="15" customHeight="1" x14ac:dyDescent="0.25">
      <c r="AU50" s="22"/>
      <c r="AW50" s="80"/>
      <c r="AX50" s="80"/>
      <c r="AY50" s="80"/>
      <c r="BP50" s="3"/>
      <c r="BQ50" s="3"/>
      <c r="BR50" s="3"/>
    </row>
    <row r="51" spans="33:108" ht="1.5" hidden="1" customHeight="1" x14ac:dyDescent="0.25">
      <c r="AU51" s="22"/>
      <c r="AW51" s="80"/>
      <c r="AX51" s="80"/>
      <c r="AY51" s="80"/>
      <c r="BP51" s="3"/>
      <c r="BQ51" s="3"/>
      <c r="BR51" s="3"/>
    </row>
    <row r="52" spans="33:108" x14ac:dyDescent="0.25">
      <c r="AU52" s="22"/>
      <c r="AW52" s="80"/>
      <c r="AX52" s="80"/>
      <c r="AY52" s="80"/>
      <c r="BP52" s="3"/>
      <c r="BQ52" s="3"/>
      <c r="BR52" s="3"/>
    </row>
    <row r="53" spans="33:108" x14ac:dyDescent="0.25">
      <c r="AU53" s="22"/>
      <c r="AW53" s="80"/>
      <c r="AX53" s="80"/>
      <c r="AY53" s="80"/>
      <c r="BP53" s="3"/>
      <c r="BQ53" s="3"/>
      <c r="BR53" s="3"/>
    </row>
    <row r="54" spans="33:108" x14ac:dyDescent="0.25">
      <c r="AU54" s="22"/>
      <c r="BP54" s="3"/>
      <c r="BQ54" s="3"/>
      <c r="BR54" s="3"/>
    </row>
    <row r="55" spans="33:108" x14ac:dyDescent="0.25">
      <c r="AU55" s="22"/>
      <c r="BP55" s="3"/>
      <c r="BQ55" s="3"/>
      <c r="BR55" s="3"/>
    </row>
    <row r="56" spans="33:108" x14ac:dyDescent="0.25">
      <c r="AU56" s="22"/>
      <c r="BP56" s="3"/>
      <c r="BQ56" s="3"/>
      <c r="BR56" s="3"/>
    </row>
    <row r="57" spans="33:108" x14ac:dyDescent="0.25">
      <c r="AU57" s="22"/>
      <c r="BP57" s="3"/>
      <c r="BQ57" s="3"/>
      <c r="BR57" s="3"/>
    </row>
    <row r="58" spans="33:108" x14ac:dyDescent="0.25">
      <c r="AU58" s="22"/>
      <c r="BP58" s="3"/>
      <c r="BQ58" s="3"/>
      <c r="BR58" s="3"/>
    </row>
    <row r="59" spans="33:108" x14ac:dyDescent="0.25">
      <c r="AU59" s="22"/>
      <c r="BP59" s="3"/>
      <c r="BQ59" s="3"/>
      <c r="BR59" s="3"/>
    </row>
    <row r="60" spans="33:108" x14ac:dyDescent="0.25">
      <c r="AU60" s="22"/>
      <c r="BP60" s="3"/>
      <c r="BQ60" s="3"/>
      <c r="BR60" s="3"/>
    </row>
    <row r="61" spans="33:108" x14ac:dyDescent="0.25">
      <c r="BP61" s="3"/>
      <c r="BQ61" s="3"/>
      <c r="BR61" s="3"/>
    </row>
    <row r="62" spans="33:108" x14ac:dyDescent="0.25">
      <c r="BP62" s="3"/>
      <c r="BQ62" s="3"/>
      <c r="BR62" s="3"/>
    </row>
    <row r="63" spans="33:108" x14ac:dyDescent="0.25">
      <c r="BP63" s="3"/>
      <c r="BQ63" s="3"/>
      <c r="BR63" s="3"/>
    </row>
  </sheetData>
  <mergeCells count="3">
    <mergeCell ref="CS8:DD9"/>
    <mergeCell ref="BU8:CG9"/>
    <mergeCell ref="CH8:CO9"/>
  </mergeCells>
  <pageMargins left="0.19685039370078741" right="0.19685039370078741" top="0.39370078740157483" bottom="0.39370078740157483" header="0.43307086614173229" footer="0.51181102362204722"/>
  <pageSetup paperSize="9" scale="73" orientation="landscape" r:id="rId1"/>
  <headerFooter alignWithMargins="0">
    <oddHeader>&amp;LBilaga 5 till regeringsbeslut 2018-12-18 nr III:6</oddHeader>
  </headerFooter>
  <colBreaks count="2" manualBreakCount="2">
    <brk id="11" max="1048575" man="1"/>
    <brk id="9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1:I32"/>
  <sheetViews>
    <sheetView showGridLines="0" tabSelected="1" zoomScale="115" zoomScaleNormal="115" workbookViewId="0">
      <selection activeCell="B31" sqref="B31"/>
    </sheetView>
  </sheetViews>
  <sheetFormatPr defaultRowHeight="12.75" x14ac:dyDescent="0.2"/>
  <cols>
    <col min="5" max="5" width="11" style="17" bestFit="1" customWidth="1"/>
    <col min="6" max="6" width="10.28515625" bestFit="1" customWidth="1"/>
    <col min="7" max="7" width="10.28515625" style="1" bestFit="1" customWidth="1"/>
    <col min="9" max="9" width="0" hidden="1" customWidth="1"/>
  </cols>
  <sheetData>
    <row r="1" spans="2:9" ht="13.5" thickBot="1" x14ac:dyDescent="0.25"/>
    <row r="2" spans="2:9" x14ac:dyDescent="0.2">
      <c r="B2" s="275" t="s">
        <v>150</v>
      </c>
      <c r="C2" s="276"/>
      <c r="D2" s="276"/>
      <c r="E2" s="276"/>
      <c r="F2" s="276"/>
      <c r="G2" s="276"/>
      <c r="H2" s="277"/>
    </row>
    <row r="3" spans="2:9" s="96" customFormat="1" x14ac:dyDescent="0.2">
      <c r="B3" s="278"/>
      <c r="C3" s="279"/>
      <c r="D3" s="279"/>
      <c r="E3" s="279"/>
      <c r="F3" s="279"/>
      <c r="G3" s="279"/>
      <c r="H3" s="280"/>
    </row>
    <row r="4" spans="2:9" x14ac:dyDescent="0.2">
      <c r="B4" s="79"/>
      <c r="C4" s="121"/>
      <c r="D4" s="121"/>
      <c r="E4" s="122" t="s">
        <v>46</v>
      </c>
      <c r="F4" s="121"/>
      <c r="G4" s="159">
        <v>30000</v>
      </c>
      <c r="H4" s="81"/>
    </row>
    <row r="5" spans="2:9" x14ac:dyDescent="0.2">
      <c r="B5" s="79"/>
      <c r="C5" s="145"/>
      <c r="D5" s="145"/>
      <c r="E5" s="142" t="s">
        <v>92</v>
      </c>
      <c r="F5" s="145"/>
      <c r="G5" s="222"/>
      <c r="H5" s="81"/>
    </row>
    <row r="6" spans="2:9" x14ac:dyDescent="0.2">
      <c r="B6" s="79"/>
      <c r="C6" s="152" t="s">
        <v>8</v>
      </c>
      <c r="D6" s="152"/>
      <c r="E6" s="223">
        <f>'RB 2018'!CO14</f>
        <v>308060.67910802522</v>
      </c>
      <c r="F6" s="224">
        <f t="shared" ref="F6:F26" si="0">E6/$E$29</f>
        <v>0.14965328120036603</v>
      </c>
      <c r="G6" s="159">
        <f>F6*$G$4</f>
        <v>4489.5984360109805</v>
      </c>
      <c r="H6" s="87"/>
      <c r="I6" s="97">
        <v>4447.9651532537246</v>
      </c>
    </row>
    <row r="7" spans="2:9" x14ac:dyDescent="0.2">
      <c r="B7" s="79"/>
      <c r="C7" s="152" t="s">
        <v>2</v>
      </c>
      <c r="D7" s="152"/>
      <c r="E7" s="223">
        <f>'RB 2018'!CO15</f>
        <v>65043.51491440001</v>
      </c>
      <c r="F7" s="224">
        <f t="shared" si="0"/>
        <v>3.1597591279514024E-2</v>
      </c>
      <c r="G7" s="159">
        <f t="shared" ref="G7:G26" si="1">F7*$G$4</f>
        <v>947.92773838542075</v>
      </c>
      <c r="H7" s="87"/>
      <c r="I7" s="97">
        <v>960.40179357950365</v>
      </c>
    </row>
    <row r="8" spans="2:9" x14ac:dyDescent="0.2">
      <c r="B8" s="79"/>
      <c r="C8" s="152" t="s">
        <v>11</v>
      </c>
      <c r="D8" s="152"/>
      <c r="E8" s="223">
        <f>'RB 2018'!CO16</f>
        <v>55859.925912423198</v>
      </c>
      <c r="F8" s="224">
        <f t="shared" si="0"/>
        <v>2.7136281152818204E-2</v>
      </c>
      <c r="G8" s="159">
        <f t="shared" si="1"/>
        <v>814.08843458454612</v>
      </c>
      <c r="H8" s="87"/>
      <c r="I8" s="97">
        <v>833.12650873927748</v>
      </c>
    </row>
    <row r="9" spans="2:9" x14ac:dyDescent="0.2">
      <c r="B9" s="79"/>
      <c r="C9" s="152" t="s">
        <v>12</v>
      </c>
      <c r="D9" s="152"/>
      <c r="E9" s="223">
        <f>'RB 2018'!CO17</f>
        <v>93698.994204789866</v>
      </c>
      <c r="F9" s="224">
        <f t="shared" si="0"/>
        <v>4.5518181575532307E-2</v>
      </c>
      <c r="G9" s="159">
        <f t="shared" si="1"/>
        <v>1365.5454472659692</v>
      </c>
      <c r="H9" s="87"/>
      <c r="I9" s="97">
        <v>1355.2716372182761</v>
      </c>
    </row>
    <row r="10" spans="2:9" x14ac:dyDescent="0.2">
      <c r="B10" s="79"/>
      <c r="C10" s="152" t="s">
        <v>13</v>
      </c>
      <c r="D10" s="152"/>
      <c r="E10" s="223">
        <f>'RB 2018'!CO18</f>
        <v>83679.228593518055</v>
      </c>
      <c r="F10" s="224">
        <f t="shared" si="0"/>
        <v>4.0650663900355065E-2</v>
      </c>
      <c r="G10" s="159">
        <f t="shared" si="1"/>
        <v>1219.5199170106519</v>
      </c>
      <c r="H10" s="87"/>
      <c r="I10" s="97">
        <v>1208.7604268425853</v>
      </c>
    </row>
    <row r="11" spans="2:9" x14ac:dyDescent="0.2">
      <c r="B11" s="79"/>
      <c r="C11" s="152" t="s">
        <v>1</v>
      </c>
      <c r="D11" s="152"/>
      <c r="E11" s="223">
        <f>'RB 2018'!CO19</f>
        <v>47235.438193746573</v>
      </c>
      <c r="F11" s="224">
        <f t="shared" si="0"/>
        <v>2.2946577716763575E-2</v>
      </c>
      <c r="G11" s="159">
        <f t="shared" si="1"/>
        <v>688.39733150290726</v>
      </c>
      <c r="H11" s="87"/>
      <c r="I11" s="97">
        <v>709.90407118901112</v>
      </c>
    </row>
    <row r="12" spans="2:9" x14ac:dyDescent="0.2">
      <c r="B12" s="79"/>
      <c r="C12" s="152" t="s">
        <v>3</v>
      </c>
      <c r="D12" s="152"/>
      <c r="E12" s="223">
        <f>'RB 2018'!CO20</f>
        <v>65169.438131131697</v>
      </c>
      <c r="F12" s="224">
        <f t="shared" si="0"/>
        <v>3.1658763716768158E-2</v>
      </c>
      <c r="G12" s="159">
        <f t="shared" si="1"/>
        <v>949.76291150304473</v>
      </c>
      <c r="H12" s="87"/>
      <c r="I12" s="97">
        <v>963.39799064450096</v>
      </c>
    </row>
    <row r="13" spans="2:9" x14ac:dyDescent="0.2">
      <c r="B13" s="79"/>
      <c r="C13" s="152" t="s">
        <v>7</v>
      </c>
      <c r="D13" s="152"/>
      <c r="E13" s="223">
        <f>'RB 2018'!CO21</f>
        <v>19270.034488874495</v>
      </c>
      <c r="F13" s="224">
        <f t="shared" si="0"/>
        <v>9.3612203233929721E-3</v>
      </c>
      <c r="G13" s="159">
        <f t="shared" si="1"/>
        <v>280.83660970178914</v>
      </c>
      <c r="H13" s="87"/>
      <c r="I13" s="97">
        <v>314.6327567658517</v>
      </c>
    </row>
    <row r="14" spans="2:9" x14ac:dyDescent="0.2">
      <c r="B14" s="79"/>
      <c r="C14" s="152" t="s">
        <v>4</v>
      </c>
      <c r="D14" s="152"/>
      <c r="E14" s="223">
        <f>'RB 2018'!CO22</f>
        <v>35575.991138898491</v>
      </c>
      <c r="F14" s="224">
        <f t="shared" si="0"/>
        <v>1.7282516617527673E-2</v>
      </c>
      <c r="G14" s="159">
        <f t="shared" si="1"/>
        <v>518.47549852583018</v>
      </c>
      <c r="H14" s="87"/>
      <c r="I14" s="97">
        <v>547.43272111258455</v>
      </c>
    </row>
    <row r="15" spans="2:9" x14ac:dyDescent="0.2">
      <c r="B15" s="79"/>
      <c r="C15" s="152" t="s">
        <v>5</v>
      </c>
      <c r="D15" s="152"/>
      <c r="E15" s="223">
        <f>'RB 2018'!CO23</f>
        <v>235194.87346322168</v>
      </c>
      <c r="F15" s="224">
        <f t="shared" si="0"/>
        <v>0.11425568701980794</v>
      </c>
      <c r="G15" s="159">
        <f t="shared" si="1"/>
        <v>3427.670610594238</v>
      </c>
      <c r="H15" s="87"/>
      <c r="I15" s="97">
        <v>3349.7715836680923</v>
      </c>
    </row>
    <row r="16" spans="2:9" x14ac:dyDescent="0.2">
      <c r="B16" s="79"/>
      <c r="C16" s="152" t="s">
        <v>14</v>
      </c>
      <c r="D16" s="152"/>
      <c r="E16" s="223">
        <f>'RB 2018'!CO24</f>
        <v>63158.149430878271</v>
      </c>
      <c r="F16" s="224">
        <f t="shared" si="0"/>
        <v>3.0681696619773945E-2</v>
      </c>
      <c r="G16" s="159">
        <f t="shared" si="1"/>
        <v>920.45089859321831</v>
      </c>
      <c r="H16" s="87"/>
      <c r="I16" s="97">
        <v>933.98619325462494</v>
      </c>
    </row>
    <row r="17" spans="2:9" x14ac:dyDescent="0.2">
      <c r="B17" s="79"/>
      <c r="C17" s="152" t="s">
        <v>15</v>
      </c>
      <c r="D17" s="152"/>
      <c r="E17" s="223">
        <f>'RB 2018'!CO25</f>
        <v>315507.95140183525</v>
      </c>
      <c r="F17" s="224">
        <f t="shared" si="0"/>
        <v>0.15327110330602473</v>
      </c>
      <c r="G17" s="159">
        <f t="shared" si="1"/>
        <v>4598.1330991807417</v>
      </c>
      <c r="H17" s="87"/>
      <c r="I17" s="97">
        <v>4517.0859625492176</v>
      </c>
    </row>
    <row r="18" spans="2:9" x14ac:dyDescent="0.2">
      <c r="B18" s="79"/>
      <c r="C18" s="152" t="s">
        <v>16</v>
      </c>
      <c r="D18" s="152"/>
      <c r="E18" s="223">
        <f>'RB 2018'!CO26</f>
        <v>78063.919459154684</v>
      </c>
      <c r="F18" s="224">
        <f t="shared" si="0"/>
        <v>3.792279405554054E-2</v>
      </c>
      <c r="G18" s="159">
        <f t="shared" si="1"/>
        <v>1137.6838216662163</v>
      </c>
      <c r="H18" s="87"/>
      <c r="I18" s="97">
        <v>1145.5922524995824</v>
      </c>
    </row>
    <row r="19" spans="2:9" x14ac:dyDescent="0.2">
      <c r="B19" s="79"/>
      <c r="C19" s="152" t="s">
        <v>17</v>
      </c>
      <c r="D19" s="152"/>
      <c r="E19" s="223">
        <f>'RB 2018'!CO27</f>
        <v>64486.775362821973</v>
      </c>
      <c r="F19" s="224">
        <f t="shared" si="0"/>
        <v>3.1327131898235903E-2</v>
      </c>
      <c r="G19" s="159">
        <f t="shared" si="1"/>
        <v>939.81395694707714</v>
      </c>
      <c r="H19" s="87"/>
      <c r="I19" s="97">
        <v>942.91877175873822</v>
      </c>
    </row>
    <row r="20" spans="2:9" x14ac:dyDescent="0.2">
      <c r="B20" s="79"/>
      <c r="C20" s="152" t="s">
        <v>18</v>
      </c>
      <c r="D20" s="152"/>
      <c r="E20" s="223">
        <f>'RB 2018'!CO28</f>
        <v>53510.393115332379</v>
      </c>
      <c r="F20" s="224">
        <f t="shared" si="0"/>
        <v>2.5994897924713274E-2</v>
      </c>
      <c r="G20" s="159">
        <f t="shared" si="1"/>
        <v>779.84693774139828</v>
      </c>
      <c r="H20" s="87"/>
      <c r="I20" s="97">
        <v>802.33381496306765</v>
      </c>
    </row>
    <row r="21" spans="2:9" x14ac:dyDescent="0.2">
      <c r="B21" s="79"/>
      <c r="C21" s="152" t="s">
        <v>6</v>
      </c>
      <c r="D21" s="152"/>
      <c r="E21" s="223">
        <f>'RB 2018'!CO29</f>
        <v>75184.55165894216</v>
      </c>
      <c r="F21" s="224">
        <f t="shared" si="0"/>
        <v>3.6524021449013302E-2</v>
      </c>
      <c r="G21" s="159">
        <f t="shared" si="1"/>
        <v>1095.7206434703992</v>
      </c>
      <c r="H21" s="87"/>
      <c r="I21" s="97">
        <v>1113.8337768740191</v>
      </c>
    </row>
    <row r="22" spans="2:9" x14ac:dyDescent="0.2">
      <c r="B22" s="79"/>
      <c r="C22" s="152" t="s">
        <v>9</v>
      </c>
      <c r="D22" s="152"/>
      <c r="E22" s="223">
        <f>'RB 2018'!CO30</f>
        <v>71409.2910867795</v>
      </c>
      <c r="F22" s="224">
        <f t="shared" si="0"/>
        <v>3.4690031685547268E-2</v>
      </c>
      <c r="G22" s="159">
        <f t="shared" si="1"/>
        <v>1040.700950566418</v>
      </c>
      <c r="H22" s="87"/>
      <c r="I22" s="97">
        <v>1058.2221617010341</v>
      </c>
    </row>
    <row r="23" spans="2:9" x14ac:dyDescent="0.2">
      <c r="B23" s="79"/>
      <c r="C23" s="152" t="s">
        <v>19</v>
      </c>
      <c r="D23" s="152"/>
      <c r="E23" s="223">
        <f>'RB 2018'!CO31</f>
        <v>71739.137681307242</v>
      </c>
      <c r="F23" s="224">
        <f t="shared" si="0"/>
        <v>3.4850268380820323E-2</v>
      </c>
      <c r="G23" s="159">
        <f t="shared" si="1"/>
        <v>1045.5080514246097</v>
      </c>
      <c r="H23" s="87"/>
      <c r="I23" s="97">
        <v>1010.2500917670253</v>
      </c>
    </row>
    <row r="24" spans="2:9" x14ac:dyDescent="0.2">
      <c r="B24" s="79"/>
      <c r="C24" s="152" t="s">
        <v>20</v>
      </c>
      <c r="D24" s="152"/>
      <c r="E24" s="223">
        <f>'RB 2018'!CO32</f>
        <v>61641.206568144014</v>
      </c>
      <c r="F24" s="224">
        <f t="shared" si="0"/>
        <v>2.9944778563698204E-2</v>
      </c>
      <c r="G24" s="159">
        <f t="shared" si="1"/>
        <v>898.34335691094611</v>
      </c>
      <c r="H24" s="87"/>
      <c r="I24" s="97">
        <v>927.79381908641972</v>
      </c>
    </row>
    <row r="25" spans="2:9" x14ac:dyDescent="0.2">
      <c r="B25" s="79"/>
      <c r="C25" s="152" t="s">
        <v>21</v>
      </c>
      <c r="D25" s="152"/>
      <c r="E25" s="223">
        <f>'RB 2018'!CO33</f>
        <v>90617.697557556705</v>
      </c>
      <c r="F25" s="224">
        <f t="shared" si="0"/>
        <v>4.4021313637224509E-2</v>
      </c>
      <c r="G25" s="159">
        <f t="shared" si="1"/>
        <v>1320.6394091167354</v>
      </c>
      <c r="H25" s="87"/>
      <c r="I25" s="97">
        <v>1325.8800996957257</v>
      </c>
    </row>
    <row r="26" spans="2:9" x14ac:dyDescent="0.2">
      <c r="B26" s="79"/>
      <c r="C26" s="152" t="s">
        <v>22</v>
      </c>
      <c r="D26" s="152"/>
      <c r="E26" s="223">
        <f>'RB 2018'!CO34</f>
        <v>104388.79763768939</v>
      </c>
      <c r="F26" s="224">
        <f t="shared" si="0"/>
        <v>5.0711197976562102E-2</v>
      </c>
      <c r="G26" s="159">
        <f t="shared" si="1"/>
        <v>1521.335939296863</v>
      </c>
      <c r="H26" s="87"/>
      <c r="I26" s="97">
        <v>1531.4384128371371</v>
      </c>
    </row>
    <row r="27" spans="2:9" x14ac:dyDescent="0.2">
      <c r="B27" s="79"/>
      <c r="C27" s="152"/>
      <c r="D27" s="152"/>
      <c r="E27" s="226"/>
      <c r="F27" s="224"/>
      <c r="G27" s="159"/>
      <c r="H27" s="81"/>
    </row>
    <row r="28" spans="2:9" x14ac:dyDescent="0.2">
      <c r="B28" s="79"/>
      <c r="C28" s="152"/>
      <c r="D28" s="152"/>
      <c r="E28" s="226"/>
      <c r="F28" s="224"/>
      <c r="G28" s="159"/>
      <c r="H28" s="81"/>
    </row>
    <row r="29" spans="2:9" ht="13.5" thickBot="1" x14ac:dyDescent="0.25">
      <c r="B29" s="79"/>
      <c r="C29" s="227"/>
      <c r="D29" s="228"/>
      <c r="E29" s="229">
        <f>SUM(E6:E28)</f>
        <v>2058495.9891094707</v>
      </c>
      <c r="F29" s="230">
        <f>E29/$E$29</f>
        <v>1</v>
      </c>
      <c r="G29" s="252">
        <f>SUM(G6:G28)</f>
        <v>30000</v>
      </c>
      <c r="H29" s="81"/>
    </row>
    <row r="30" spans="2:9" ht="13.5" thickTop="1" x14ac:dyDescent="0.2">
      <c r="B30" s="79"/>
      <c r="C30" s="231"/>
      <c r="D30" s="231"/>
      <c r="E30" s="226"/>
      <c r="F30" s="231"/>
      <c r="G30" s="225"/>
      <c r="H30" s="81"/>
    </row>
    <row r="31" spans="2:9" ht="13.5" thickBot="1" x14ac:dyDescent="0.25">
      <c r="B31" s="82"/>
      <c r="C31" s="232"/>
      <c r="D31" s="232"/>
      <c r="E31" s="233"/>
      <c r="F31" s="232"/>
      <c r="G31" s="234"/>
      <c r="H31" s="85"/>
    </row>
    <row r="32" spans="2:9" x14ac:dyDescent="0.2">
      <c r="C32" s="86"/>
      <c r="D32" s="86"/>
      <c r="E32" s="235"/>
      <c r="F32" s="86"/>
      <c r="G32" s="236"/>
    </row>
  </sheetData>
  <mergeCells count="1">
    <mergeCell ref="B2:H3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I30"/>
  <sheetViews>
    <sheetView showGridLines="0" workbookViewId="0">
      <selection activeCell="B23" sqref="B23"/>
    </sheetView>
  </sheetViews>
  <sheetFormatPr defaultColWidth="9.140625" defaultRowHeight="12.75" x14ac:dyDescent="0.2"/>
  <cols>
    <col min="1" max="4" width="9.140625" style="96"/>
    <col min="5" max="5" width="10.85546875" style="17" customWidth="1"/>
    <col min="6" max="6" width="9.5703125" style="96" bestFit="1" customWidth="1"/>
    <col min="7" max="7" width="9.5703125" style="97" bestFit="1" customWidth="1"/>
    <col min="8" max="8" width="9.140625" style="96"/>
    <col min="9" max="9" width="0" style="96" hidden="1" customWidth="1"/>
    <col min="10" max="16384" width="9.140625" style="96"/>
  </cols>
  <sheetData>
    <row r="1" spans="2:9" ht="13.5" thickBot="1" x14ac:dyDescent="0.25"/>
    <row r="2" spans="2:9" x14ac:dyDescent="0.2">
      <c r="B2" s="275" t="s">
        <v>151</v>
      </c>
      <c r="C2" s="276"/>
      <c r="D2" s="276"/>
      <c r="E2" s="276"/>
      <c r="F2" s="276"/>
      <c r="G2" s="276"/>
      <c r="H2" s="277"/>
    </row>
    <row r="3" spans="2:9" x14ac:dyDescent="0.2">
      <c r="B3" s="278"/>
      <c r="C3" s="279"/>
      <c r="D3" s="279"/>
      <c r="E3" s="279"/>
      <c r="F3" s="279"/>
      <c r="G3" s="279"/>
      <c r="H3" s="280"/>
    </row>
    <row r="4" spans="2:9" x14ac:dyDescent="0.2">
      <c r="B4" s="79"/>
      <c r="C4" s="121"/>
      <c r="D4" s="121"/>
      <c r="E4" s="122" t="s">
        <v>46</v>
      </c>
      <c r="F4" s="121"/>
      <c r="G4" s="159">
        <v>8800</v>
      </c>
      <c r="H4" s="81"/>
    </row>
    <row r="5" spans="2:9" x14ac:dyDescent="0.2">
      <c r="B5" s="79"/>
      <c r="C5" s="145"/>
      <c r="D5" s="145"/>
      <c r="E5" s="142" t="s">
        <v>139</v>
      </c>
      <c r="F5" s="145"/>
      <c r="G5" s="222"/>
      <c r="H5" s="81"/>
    </row>
    <row r="6" spans="2:9" x14ac:dyDescent="0.2">
      <c r="B6" s="79"/>
      <c r="C6" s="152" t="s">
        <v>8</v>
      </c>
      <c r="D6" s="152"/>
      <c r="E6" s="223">
        <f>'RB 2018'!CO14</f>
        <v>308060.67910802522</v>
      </c>
      <c r="F6" s="224">
        <f t="shared" ref="F6:F26" si="0">E6/$E$28</f>
        <v>0.14965328120036603</v>
      </c>
      <c r="G6" s="225">
        <f>F6*$G$4</f>
        <v>1316.9488745632211</v>
      </c>
      <c r="H6" s="87"/>
      <c r="I6" s="97">
        <v>1304.7364449544259</v>
      </c>
    </row>
    <row r="7" spans="2:9" x14ac:dyDescent="0.2">
      <c r="B7" s="79"/>
      <c r="C7" s="152" t="s">
        <v>2</v>
      </c>
      <c r="D7" s="152"/>
      <c r="E7" s="223">
        <f>'RB 2018'!CO15</f>
        <v>65043.51491440001</v>
      </c>
      <c r="F7" s="224">
        <f t="shared" si="0"/>
        <v>3.1597591279514024E-2</v>
      </c>
      <c r="G7" s="225">
        <f t="shared" ref="G7:G26" si="1">F7*$G$4</f>
        <v>278.05880325972339</v>
      </c>
      <c r="H7" s="87"/>
      <c r="I7" s="97">
        <v>281.71785944998771</v>
      </c>
    </row>
    <row r="8" spans="2:9" x14ac:dyDescent="0.2">
      <c r="B8" s="79"/>
      <c r="C8" s="152" t="s">
        <v>11</v>
      </c>
      <c r="D8" s="152"/>
      <c r="E8" s="223">
        <f>'RB 2018'!CO16</f>
        <v>55859.925912423198</v>
      </c>
      <c r="F8" s="224">
        <f t="shared" si="0"/>
        <v>2.7136281152818204E-2</v>
      </c>
      <c r="G8" s="225">
        <f t="shared" si="1"/>
        <v>238.79927414480019</v>
      </c>
      <c r="H8" s="87"/>
      <c r="I8" s="97">
        <v>244.38377589685476</v>
      </c>
    </row>
    <row r="9" spans="2:9" x14ac:dyDescent="0.2">
      <c r="B9" s="79"/>
      <c r="C9" s="152" t="s">
        <v>12</v>
      </c>
      <c r="D9" s="152"/>
      <c r="E9" s="223">
        <f>'RB 2018'!CO17</f>
        <v>93698.994204789866</v>
      </c>
      <c r="F9" s="224">
        <f t="shared" si="0"/>
        <v>4.5518181575532307E-2</v>
      </c>
      <c r="G9" s="225">
        <f t="shared" si="1"/>
        <v>400.55999786468431</v>
      </c>
      <c r="H9" s="87"/>
      <c r="I9" s="97">
        <v>397.54634691736095</v>
      </c>
    </row>
    <row r="10" spans="2:9" x14ac:dyDescent="0.2">
      <c r="B10" s="79"/>
      <c r="C10" s="152" t="s">
        <v>13</v>
      </c>
      <c r="D10" s="152"/>
      <c r="E10" s="223">
        <f>'RB 2018'!CO18</f>
        <v>83679.228593518055</v>
      </c>
      <c r="F10" s="224">
        <f t="shared" si="0"/>
        <v>4.0650663900355065E-2</v>
      </c>
      <c r="G10" s="225">
        <f t="shared" si="1"/>
        <v>357.7258423231246</v>
      </c>
      <c r="H10" s="87"/>
      <c r="I10" s="97">
        <v>354.56972520715834</v>
      </c>
    </row>
    <row r="11" spans="2:9" x14ac:dyDescent="0.2">
      <c r="B11" s="79"/>
      <c r="C11" s="152" t="s">
        <v>1</v>
      </c>
      <c r="D11" s="152"/>
      <c r="E11" s="223">
        <f>'RB 2018'!CO19</f>
        <v>47235.438193746573</v>
      </c>
      <c r="F11" s="224">
        <f t="shared" si="0"/>
        <v>2.2946577716763575E-2</v>
      </c>
      <c r="G11" s="225">
        <f t="shared" si="1"/>
        <v>201.92988390751947</v>
      </c>
      <c r="H11" s="87"/>
      <c r="I11" s="97">
        <v>208.23852754877655</v>
      </c>
    </row>
    <row r="12" spans="2:9" x14ac:dyDescent="0.2">
      <c r="B12" s="79"/>
      <c r="C12" s="152" t="s">
        <v>3</v>
      </c>
      <c r="D12" s="152"/>
      <c r="E12" s="223">
        <f>'RB 2018'!CO20</f>
        <v>65169.438131131697</v>
      </c>
      <c r="F12" s="224">
        <f t="shared" si="0"/>
        <v>3.1658763716768158E-2</v>
      </c>
      <c r="G12" s="225">
        <f t="shared" si="1"/>
        <v>278.59712070755978</v>
      </c>
      <c r="H12" s="87"/>
      <c r="I12" s="97">
        <v>282.59674392238696</v>
      </c>
    </row>
    <row r="13" spans="2:9" x14ac:dyDescent="0.2">
      <c r="B13" s="79"/>
      <c r="C13" s="152" t="s">
        <v>7</v>
      </c>
      <c r="D13" s="152"/>
      <c r="E13" s="223">
        <f>'RB 2018'!CO21</f>
        <v>19270.034488874495</v>
      </c>
      <c r="F13" s="224">
        <f t="shared" si="0"/>
        <v>9.3612203233929721E-3</v>
      </c>
      <c r="G13" s="225">
        <f t="shared" si="1"/>
        <v>82.378738845858152</v>
      </c>
      <c r="H13" s="87"/>
      <c r="I13" s="97">
        <v>92.292275317983155</v>
      </c>
    </row>
    <row r="14" spans="2:9" x14ac:dyDescent="0.2">
      <c r="B14" s="79"/>
      <c r="C14" s="152" t="s">
        <v>4</v>
      </c>
      <c r="D14" s="152"/>
      <c r="E14" s="223">
        <f>'RB 2018'!CO22</f>
        <v>35575.991138898491</v>
      </c>
      <c r="F14" s="224">
        <f t="shared" si="0"/>
        <v>1.7282516617527673E-2</v>
      </c>
      <c r="G14" s="225">
        <f t="shared" si="1"/>
        <v>152.08614623424353</v>
      </c>
      <c r="H14" s="87"/>
      <c r="I14" s="97">
        <v>160.58026485969143</v>
      </c>
    </row>
    <row r="15" spans="2:9" x14ac:dyDescent="0.2">
      <c r="B15" s="79"/>
      <c r="C15" s="152" t="s">
        <v>5</v>
      </c>
      <c r="D15" s="152"/>
      <c r="E15" s="223">
        <f>'RB 2018'!CO23</f>
        <v>235194.87346322168</v>
      </c>
      <c r="F15" s="224">
        <f t="shared" si="0"/>
        <v>0.11425568701980794</v>
      </c>
      <c r="G15" s="225">
        <f t="shared" si="1"/>
        <v>1005.4500457743098</v>
      </c>
      <c r="H15" s="87"/>
      <c r="I15" s="97">
        <v>982.59966454264031</v>
      </c>
    </row>
    <row r="16" spans="2:9" x14ac:dyDescent="0.2">
      <c r="B16" s="79"/>
      <c r="C16" s="152" t="s">
        <v>14</v>
      </c>
      <c r="D16" s="152"/>
      <c r="E16" s="223">
        <f>'RB 2018'!CO24</f>
        <v>63158.149430878271</v>
      </c>
      <c r="F16" s="224">
        <f t="shared" si="0"/>
        <v>3.0681696619773945E-2</v>
      </c>
      <c r="G16" s="225">
        <f t="shared" si="1"/>
        <v>269.9989302540107</v>
      </c>
      <c r="H16" s="87"/>
      <c r="I16" s="97">
        <v>273.96928335468994</v>
      </c>
    </row>
    <row r="17" spans="2:9" x14ac:dyDescent="0.2">
      <c r="B17" s="79"/>
      <c r="C17" s="152" t="s">
        <v>15</v>
      </c>
      <c r="D17" s="152"/>
      <c r="E17" s="223">
        <f>'RB 2018'!CO25</f>
        <v>315507.95140183525</v>
      </c>
      <c r="F17" s="224">
        <f t="shared" si="0"/>
        <v>0.15327110330602473</v>
      </c>
      <c r="G17" s="225">
        <f t="shared" si="1"/>
        <v>1348.7857090930177</v>
      </c>
      <c r="H17" s="87"/>
      <c r="I17" s="97">
        <v>1325.0118823477706</v>
      </c>
    </row>
    <row r="18" spans="2:9" x14ac:dyDescent="0.2">
      <c r="B18" s="79"/>
      <c r="C18" s="152" t="s">
        <v>16</v>
      </c>
      <c r="D18" s="152"/>
      <c r="E18" s="223">
        <f>'RB 2018'!CO26</f>
        <v>78063.919459154684</v>
      </c>
      <c r="F18" s="224">
        <f t="shared" si="0"/>
        <v>3.792279405554054E-2</v>
      </c>
      <c r="G18" s="225">
        <f t="shared" si="1"/>
        <v>333.72058768875678</v>
      </c>
      <c r="H18" s="87"/>
      <c r="I18" s="97">
        <v>336.04039406654414</v>
      </c>
    </row>
    <row r="19" spans="2:9" x14ac:dyDescent="0.2">
      <c r="B19" s="79"/>
      <c r="C19" s="152" t="s">
        <v>17</v>
      </c>
      <c r="D19" s="152"/>
      <c r="E19" s="223">
        <f>'RB 2018'!CO27</f>
        <v>64486.775362821973</v>
      </c>
      <c r="F19" s="224">
        <f t="shared" si="0"/>
        <v>3.1327131898235903E-2</v>
      </c>
      <c r="G19" s="225">
        <f t="shared" si="1"/>
        <v>275.67876070447596</v>
      </c>
      <c r="H19" s="87"/>
      <c r="I19" s="97">
        <v>276.58950638256317</v>
      </c>
    </row>
    <row r="20" spans="2:9" x14ac:dyDescent="0.2">
      <c r="B20" s="79"/>
      <c r="C20" s="152" t="s">
        <v>18</v>
      </c>
      <c r="D20" s="152"/>
      <c r="E20" s="223">
        <f>'RB 2018'!CO28</f>
        <v>53510.393115332379</v>
      </c>
      <c r="F20" s="224">
        <f t="shared" si="0"/>
        <v>2.5994897924713274E-2</v>
      </c>
      <c r="G20" s="225">
        <f t="shared" si="1"/>
        <v>228.75510173747682</v>
      </c>
      <c r="H20" s="87"/>
      <c r="I20" s="97">
        <v>235.35125238916652</v>
      </c>
    </row>
    <row r="21" spans="2:9" x14ac:dyDescent="0.2">
      <c r="B21" s="79"/>
      <c r="C21" s="152" t="s">
        <v>6</v>
      </c>
      <c r="D21" s="152"/>
      <c r="E21" s="223">
        <f>'RB 2018'!CO29</f>
        <v>75184.55165894216</v>
      </c>
      <c r="F21" s="224">
        <f t="shared" si="0"/>
        <v>3.6524021449013302E-2</v>
      </c>
      <c r="G21" s="225">
        <f t="shared" si="1"/>
        <v>321.41138875131708</v>
      </c>
      <c r="H21" s="87"/>
      <c r="I21" s="97">
        <v>326.7245745497122</v>
      </c>
    </row>
    <row r="22" spans="2:9" x14ac:dyDescent="0.2">
      <c r="B22" s="79"/>
      <c r="C22" s="152" t="s">
        <v>9</v>
      </c>
      <c r="D22" s="152"/>
      <c r="E22" s="223">
        <f>'RB 2018'!CO30</f>
        <v>71409.2910867795</v>
      </c>
      <c r="F22" s="224">
        <f t="shared" si="0"/>
        <v>3.4690031685547268E-2</v>
      </c>
      <c r="G22" s="225">
        <f t="shared" si="1"/>
        <v>305.27227883281597</v>
      </c>
      <c r="H22" s="87"/>
      <c r="I22" s="97">
        <v>310.4118340989699</v>
      </c>
    </row>
    <row r="23" spans="2:9" x14ac:dyDescent="0.2">
      <c r="B23" s="79"/>
      <c r="C23" s="152" t="s">
        <v>19</v>
      </c>
      <c r="D23" s="152"/>
      <c r="E23" s="223">
        <f>'RB 2018'!CO31</f>
        <v>71739.137681307242</v>
      </c>
      <c r="F23" s="224">
        <f t="shared" si="0"/>
        <v>3.4850268380820323E-2</v>
      </c>
      <c r="G23" s="225">
        <f t="shared" si="1"/>
        <v>306.68236175121882</v>
      </c>
      <c r="H23" s="87"/>
      <c r="I23" s="97">
        <v>296.3400269183274</v>
      </c>
    </row>
    <row r="24" spans="2:9" x14ac:dyDescent="0.2">
      <c r="B24" s="79"/>
      <c r="C24" s="152" t="s">
        <v>20</v>
      </c>
      <c r="D24" s="152"/>
      <c r="E24" s="223">
        <f>'RB 2018'!CO32</f>
        <v>61641.206568144014</v>
      </c>
      <c r="F24" s="224">
        <f t="shared" si="0"/>
        <v>2.9944778563698204E-2</v>
      </c>
      <c r="G24" s="225">
        <f t="shared" si="1"/>
        <v>263.51405136054422</v>
      </c>
      <c r="H24" s="87"/>
      <c r="I24" s="97">
        <v>272.15285359868307</v>
      </c>
    </row>
    <row r="25" spans="2:9" x14ac:dyDescent="0.2">
      <c r="B25" s="79"/>
      <c r="C25" s="152" t="s">
        <v>21</v>
      </c>
      <c r="D25" s="152"/>
      <c r="E25" s="223">
        <f>'RB 2018'!CO33</f>
        <v>90617.697557556705</v>
      </c>
      <c r="F25" s="224">
        <f t="shared" si="0"/>
        <v>4.4021313637224509E-2</v>
      </c>
      <c r="G25" s="225">
        <f t="shared" si="1"/>
        <v>387.3875600075757</v>
      </c>
      <c r="H25" s="87"/>
      <c r="I25" s="97">
        <v>388.92482924407943</v>
      </c>
    </row>
    <row r="26" spans="2:9" x14ac:dyDescent="0.2">
      <c r="B26" s="79"/>
      <c r="C26" s="152" t="s">
        <v>22</v>
      </c>
      <c r="D26" s="152"/>
      <c r="E26" s="223">
        <f>'RB 2018'!CO34</f>
        <v>104388.79763768939</v>
      </c>
      <c r="F26" s="224">
        <f t="shared" si="0"/>
        <v>5.0711197976562102E-2</v>
      </c>
      <c r="G26" s="225">
        <f t="shared" si="1"/>
        <v>446.25854219374651</v>
      </c>
      <c r="H26" s="87"/>
      <c r="I26" s="97">
        <v>449.22193443222693</v>
      </c>
    </row>
    <row r="27" spans="2:9" x14ac:dyDescent="0.2">
      <c r="B27" s="79"/>
      <c r="C27" s="153"/>
      <c r="D27" s="153"/>
      <c r="E27" s="226"/>
      <c r="F27" s="224"/>
      <c r="G27" s="225"/>
      <c r="H27" s="81"/>
    </row>
    <row r="28" spans="2:9" ht="13.5" thickBot="1" x14ac:dyDescent="0.25">
      <c r="B28" s="79"/>
      <c r="C28" s="250"/>
      <c r="D28" s="251"/>
      <c r="E28" s="229">
        <f>SUM(E6:E27)</f>
        <v>2058495.9891094707</v>
      </c>
      <c r="F28" s="230">
        <f>E28/$E$28</f>
        <v>1</v>
      </c>
      <c r="G28" s="229">
        <f>SUM(G6:G27)</f>
        <v>8800</v>
      </c>
      <c r="H28" s="81"/>
    </row>
    <row r="29" spans="2:9" ht="13.5" thickTop="1" x14ac:dyDescent="0.2">
      <c r="B29" s="79"/>
      <c r="C29" s="231"/>
      <c r="D29" s="231"/>
      <c r="E29" s="226"/>
      <c r="F29" s="231"/>
      <c r="G29" s="225"/>
      <c r="H29" s="81"/>
    </row>
    <row r="30" spans="2:9" ht="13.5" thickBot="1" x14ac:dyDescent="0.25">
      <c r="B30" s="82"/>
      <c r="C30" s="232"/>
      <c r="D30" s="232"/>
      <c r="E30" s="233"/>
      <c r="F30" s="232"/>
      <c r="G30" s="234"/>
      <c r="H30" s="85"/>
    </row>
  </sheetData>
  <mergeCells count="1">
    <mergeCell ref="B2:H3"/>
  </mergeCell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True</openByDefault>
  <xsnScope>/yta/fi-ofa/sfo/Myndigheter och Hovet</xsnScope>
</customXsn>
</file>

<file path=customXml/item4.xml><?xml version="1.0" encoding="utf-8"?>
<?mso-contentType ?>
<SharedContentType xmlns="Microsoft.SharePoint.Taxonomy.ContentTypeSync" SourceId="d07acfae-4dfa-4949-99a8-259efd31a6ae" ContentTypeId="0x010100BBA312BF02777149882D207184EC35C0" PreviousValue="false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K Dokument" ma:contentTypeID="0x010100BBA312BF02777149882D207184EC35C000881F2747E7B7E94A8E80038A76CD7070" ma:contentTypeVersion="11" ma:contentTypeDescription="Skapa ett nytt dokument." ma:contentTypeScope="" ma:versionID="25e5b68786b86124680b9294f4f7de6c">
  <xsd:schema xmlns:xsd="http://www.w3.org/2001/XMLSchema" xmlns:xs="http://www.w3.org/2001/XMLSchema" xmlns:p="http://schemas.microsoft.com/office/2006/metadata/properties" xmlns:ns3="eec14d05-b663-4c4f-ba9e-f91ce218b26b" xmlns:ns4="cc625d36-bb37-4650-91b9-0c96159295ba" xmlns:ns5="4e9c2f0c-7bf8-49af-8356-cbf363fc78a7" targetNamespace="http://schemas.microsoft.com/office/2006/metadata/properties" ma:root="true" ma:fieldsID="8216b4bb7f034f74c83766c0c2d53de9" ns3:_="" ns4:_="" ns5:_="">
    <xsd:import namespace="eec14d05-b663-4c4f-ba9e-f91ce218b26b"/>
    <xsd:import namespace="cc625d36-bb37-4650-91b9-0c96159295ba"/>
    <xsd:import namespace="4e9c2f0c-7bf8-49af-8356-cbf363fc78a7"/>
    <xsd:element name="properties">
      <xsd:complexType>
        <xsd:sequence>
          <xsd:element name="documentManagement">
            <xsd:complexType>
              <xsd:all>
                <xsd:element ref="ns3:Diarienummer" minOccurs="0"/>
                <xsd:element ref="ns3:Nyckelord" minOccurs="0"/>
                <xsd:element ref="ns4:TaxCatchAll" minOccurs="0"/>
                <xsd:element ref="ns4:TaxCatchAllLabel" minOccurs="0"/>
                <xsd:element ref="ns4:k46d94c0acf84ab9a79866a9d8b1905f" minOccurs="0"/>
                <xsd:element ref="ns3:_dlc_DocId" minOccurs="0"/>
                <xsd:element ref="ns3:_dlc_DocIdUrl" minOccurs="0"/>
                <xsd:element ref="ns3:_dlc_DocIdPersistId" minOccurs="0"/>
                <xsd:element ref="ns4:edbe0b5c82304c8e847ab7b8c02a77c3" minOccurs="0"/>
                <xsd:element ref="ns5:DirtyMig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3" nillable="true" ma:displayName="Diarienummer" ma:internalName="RecordNumber">
      <xsd:simpleType>
        <xsd:restriction base="dms:Text"/>
      </xsd:simpleType>
    </xsd:element>
    <xsd:element name="Nyckelord" ma:index="4" nillable="true" ma:displayName="Nyckelord" ma:internalName="RKNyckelord">
      <xsd:simpleType>
        <xsd:restriction base="dms:Text"/>
      </xsd:simpleType>
    </xsd:element>
    <xsd:element name="_dlc_DocId" ma:index="14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5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" ma:index="5" nillable="true" ma:displayName="Global taxonomikolumn" ma:description="" ma:hidden="true" ma:list="{e1938cba-2959-43c3-a77f-283ab2a63118}" ma:internalName="TaxCatchAll" ma:readOnly="false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6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9" nillable="true" ma:taxonomy="true" ma:internalName="k46d94c0acf84ab9a79866a9d8b1905f" ma:taxonomyFieldName="Organisation" ma:displayName="Departement/enhet" ma:readOnly="false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be0b5c82304c8e847ab7b8c02a77c3" ma:index="18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19" nillable="true" ma:displayName="Migrerad inte uppdaterad" ma:default="0" ma:internalName="DirtyMigration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arienummer xmlns="eec14d05-b663-4c4f-ba9e-f91ce218b26b" xsi:nil="true"/>
    <Nyckelord xmlns="eec14d05-b663-4c4f-ba9e-f91ce218b26b" xsi:nil="true"/>
    <_dlc_DocId xmlns="eec14d05-b663-4c4f-ba9e-f91ce218b26b">JMV6WU277ZYR-1834298216-30958</_dlc_DocId>
    <_dlc_DocIdUrl xmlns="eec14d05-b663-4c4f-ba9e-f91ce218b26b">
      <Url>https://dhs.sp.regeringskansliet.se/yta/fi-ofa/sfo/_layouts/15/DocIdRedir.aspx?ID=JMV6WU277ZYR-1834298216-30958</Url>
      <Description>JMV6WU277ZYR-1834298216-30958</Description>
    </_dlc_DocIdUrl>
    <TaxCatchAll xmlns="cc625d36-bb37-4650-91b9-0c96159295ba"/>
    <k46d94c0acf84ab9a79866a9d8b1905f xmlns="cc625d36-bb37-4650-91b9-0c96159295ba">
      <Terms xmlns="http://schemas.microsoft.com/office/infopath/2007/PartnerControls"/>
    </k46d94c0acf84ab9a79866a9d8b1905f>
    <edbe0b5c82304c8e847ab7b8c02a77c3 xmlns="cc625d36-bb37-4650-91b9-0c96159295ba">
      <Terms xmlns="http://schemas.microsoft.com/office/infopath/2007/PartnerControls"/>
    </edbe0b5c82304c8e847ab7b8c02a77c3>
    <DirtyMigration xmlns="4e9c2f0c-7bf8-49af-8356-cbf363fc78a7" xsi:nil="true"/>
  </documentManagement>
</p:properties>
</file>

<file path=customXml/itemProps1.xml><?xml version="1.0" encoding="utf-8"?>
<ds:datastoreItem xmlns:ds="http://schemas.openxmlformats.org/officeDocument/2006/customXml" ds:itemID="{55472C5A-FABF-43C1-BEE5-6B15A4F1A57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D29FFC1-DF56-4EAE-9255-3F92A806398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7A57C4E-AD65-4958-8A69-4CB07C5C7F25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751D0F0F-335A-4F74-A478-A8FD47D3BCCD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42AB4535-CF1A-4DA3-B6ED-1F502A854A74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34296A05-6E8D-416F-846B-688DCC85DE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14d05-b663-4c4f-ba9e-f91ce218b26b"/>
    <ds:schemaRef ds:uri="cc625d36-bb37-4650-91b9-0c96159295ba"/>
    <ds:schemaRef ds:uri="4e9c2f0c-7bf8-49af-8356-cbf363fc78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BE7362D4-6705-4370-8921-4A890FF68B7D}">
  <ds:schemaRefs>
    <ds:schemaRef ds:uri="eec14d05-b663-4c4f-ba9e-f91ce218b26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c625d36-bb37-4650-91b9-0c96159295ba"/>
    <ds:schemaRef ds:uri="4e9c2f0c-7bf8-49af-8356-cbf363fc78a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RB 2018</vt:lpstr>
      <vt:lpstr>Utvecklingsmedel</vt:lpstr>
      <vt:lpstr>Djurfrågor</vt:lpstr>
      <vt:lpstr>'RB 2018'!Utskriftsområde</vt:lpstr>
      <vt:lpstr>'RB 2018'!Utskriftsrubriker</vt:lpstr>
    </vt:vector>
  </TitlesOfParts>
  <Company>Regeringskansliet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5 - beräkning av anslagspost per länsstyrelse.xls</dc:title>
  <dc:subject/>
  <dc:creator>htn0420</dc:creator>
  <cp:keywords/>
  <dc:description/>
  <cp:lastModifiedBy>Susanna Herrera</cp:lastModifiedBy>
  <cp:lastPrinted>2018-12-17T22:53:23Z</cp:lastPrinted>
  <dcterms:created xsi:type="dcterms:W3CDTF">2007-01-26T09:50:15Z</dcterms:created>
  <dcterms:modified xsi:type="dcterms:W3CDTF">2018-12-20T14:28:06Z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 Budgetprocessen, styrning av statliga myndigheterna m.m.</vt:lpwstr>
  </property>
  <property fmtid="{D5CDD505-2E9C-101B-9397-08002B2CF9AE}" pid="4" name="QFMSP source name">
    <vt:lpwstr>Bil 7 förd modell.xls</vt:lpwstr>
  </property>
  <property fmtid="{D5CDD505-2E9C-101B-9397-08002B2CF9AE}" pid="5" name="Subject">
    <vt:lpwstr/>
  </property>
  <property fmtid="{D5CDD505-2E9C-101B-9397-08002B2CF9AE}" pid="6" name="Keywords">
    <vt:lpwstr/>
  </property>
  <property fmtid="{D5CDD505-2E9C-101B-9397-08002B2CF9AE}" pid="7" name="_Author">
    <vt:lpwstr>htn0420</vt:lpwstr>
  </property>
  <property fmtid="{D5CDD505-2E9C-101B-9397-08002B2CF9AE}" pid="8" name="_Category">
    <vt:lpwstr/>
  </property>
  <property fmtid="{D5CDD505-2E9C-101B-9397-08002B2CF9AE}" pid="9" name="Categories">
    <vt:lpwstr/>
  </property>
  <property fmtid="{D5CDD505-2E9C-101B-9397-08002B2CF9AE}" pid="10" name="Approval Level">
    <vt:lpwstr/>
  </property>
  <property fmtid="{D5CDD505-2E9C-101B-9397-08002B2CF9AE}" pid="11" name="_Comments">
    <vt:lpwstr/>
  </property>
  <property fmtid="{D5CDD505-2E9C-101B-9397-08002B2CF9AE}" pid="12" name="Assigned To">
    <vt:lpwstr/>
  </property>
  <property fmtid="{D5CDD505-2E9C-101B-9397-08002B2CF9AE}" pid="13" name="RKOrdnaDiarienummer">
    <vt:lpwstr/>
  </property>
  <property fmtid="{D5CDD505-2E9C-101B-9397-08002B2CF9AE}" pid="14" name="ContentType">
    <vt:lpwstr>Word</vt:lpwstr>
  </property>
  <property fmtid="{D5CDD505-2E9C-101B-9397-08002B2CF9AE}" pid="15" name="RKOrdnaSearchKeywords">
    <vt:lpwstr/>
  </property>
  <property fmtid="{D5CDD505-2E9C-101B-9397-08002B2CF9AE}" pid="16" name="RKOrdnaSarskildSkyddsvard">
    <vt:lpwstr>0</vt:lpwstr>
  </property>
  <property fmtid="{D5CDD505-2E9C-101B-9397-08002B2CF9AE}" pid="17" name="display_urn:schemas-microsoft-com:office:office#Editor">
    <vt:lpwstr>Mats Kryhl</vt:lpwstr>
  </property>
  <property fmtid="{D5CDD505-2E9C-101B-9397-08002B2CF9AE}" pid="18" name="xd_Signature">
    <vt:lpwstr/>
  </property>
  <property fmtid="{D5CDD505-2E9C-101B-9397-08002B2CF9AE}" pid="19" name="RKOrdnaCheckInComment">
    <vt:lpwstr/>
  </property>
  <property fmtid="{D5CDD505-2E9C-101B-9397-08002B2CF9AE}" pid="20" name="TemplateUrl">
    <vt:lpwstr/>
  </property>
  <property fmtid="{D5CDD505-2E9C-101B-9397-08002B2CF9AE}" pid="21" name="RKOrdnaClass">
    <vt:lpwstr>3</vt:lpwstr>
  </property>
  <property fmtid="{D5CDD505-2E9C-101B-9397-08002B2CF9AE}" pid="22" name="xd_ProgID">
    <vt:lpwstr/>
  </property>
  <property fmtid="{D5CDD505-2E9C-101B-9397-08002B2CF9AE}" pid="23" name="display_urn:schemas-microsoft-com:office:office#Author">
    <vt:lpwstr>Mats Kryhl</vt:lpwstr>
  </property>
  <property fmtid="{D5CDD505-2E9C-101B-9397-08002B2CF9AE}" pid="24" name="Order">
    <vt:r8>1489200</vt:r8>
  </property>
  <property fmtid="{D5CDD505-2E9C-101B-9397-08002B2CF9AE}" pid="25" name="ContentTypeId">
    <vt:lpwstr>0x010100BBA312BF02777149882D207184EC35C000881F2747E7B7E94A8E80038A76CD7070</vt:lpwstr>
  </property>
  <property fmtid="{D5CDD505-2E9C-101B-9397-08002B2CF9AE}" pid="26" name="_dlc_DocIdItemGuid">
    <vt:lpwstr>4a4e2f47-8277-4506-9985-e5a31f98e32b</vt:lpwstr>
  </property>
  <property fmtid="{D5CDD505-2E9C-101B-9397-08002B2CF9AE}" pid="27" name="RKDepartementsenhet">
    <vt:lpwstr/>
  </property>
  <property fmtid="{D5CDD505-2E9C-101B-9397-08002B2CF9AE}" pid="28" name="RKAktivitetskategori">
    <vt:lpwstr/>
  </property>
  <property fmtid="{D5CDD505-2E9C-101B-9397-08002B2CF9AE}" pid="29" name="Departementsenhet">
    <vt:lpwstr/>
  </property>
  <property fmtid="{D5CDD505-2E9C-101B-9397-08002B2CF9AE}" pid="30" name="Aktivitetskategori">
    <vt:lpwstr/>
  </property>
  <property fmtid="{D5CDD505-2E9C-101B-9397-08002B2CF9AE}" pid="31" name="DocumentSetDescription">
    <vt:lpwstr/>
  </property>
  <property fmtid="{D5CDD505-2E9C-101B-9397-08002B2CF9AE}" pid="32" name="Organisation">
    <vt:lpwstr/>
  </property>
  <property fmtid="{D5CDD505-2E9C-101B-9397-08002B2CF9AE}" pid="33" name="ActivityCategory">
    <vt:lpwstr/>
  </property>
</Properties>
</file>