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0/"/>
    </mc:Choice>
  </mc:AlternateContent>
  <xr:revisionPtr revIDLastSave="0" documentId="13_ncr:1_{568E9895-47F8-42B9-BFB1-90EAA742328A}" xr6:coauthVersionLast="41" xr6:coauthVersionMax="41" xr10:uidLastSave="{00000000-0000-0000-0000-000000000000}"/>
  <bookViews>
    <workbookView xWindow="-120" yWindow="-120" windowWidth="19440" windowHeight="10440" xr2:uid="{00000000-000D-0000-FFFF-FFFF00000000}"/>
  </bookViews>
  <sheets>
    <sheet name="RB2020" sheetId="13" r:id="rId1"/>
  </sheets>
  <definedNames>
    <definedName name="_xlnm.Print_Area" localSheetId="0">'RB2020'!$A$6:$E$37,'RB2020'!$L$6:$AG$37,'RB2020'!$AJ$6:$BC$48,'RB2020'!$BG$6:$BV$42</definedName>
    <definedName name="_xlnm.Print_Titles" localSheetId="0">'RB2020'!$G:$I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35" i="13" l="1"/>
  <c r="R35" i="13" l="1"/>
  <c r="AF36" i="13" l="1"/>
  <c r="U22" i="13"/>
  <c r="U23" i="13"/>
  <c r="AC35" i="13" l="1"/>
  <c r="Y14" i="13"/>
  <c r="AE35" i="13"/>
  <c r="AE36" i="13" s="1"/>
  <c r="Z35" i="13" l="1"/>
  <c r="Z36" i="13" s="1"/>
  <c r="BM34" i="13" l="1"/>
  <c r="BM33" i="13"/>
  <c r="BM32" i="13"/>
  <c r="BM31" i="13"/>
  <c r="BM30" i="13"/>
  <c r="BM29" i="13"/>
  <c r="BM28" i="13"/>
  <c r="BM27" i="13"/>
  <c r="BM26" i="13"/>
  <c r="BM25" i="13"/>
  <c r="BM24" i="13"/>
  <c r="BM23" i="13"/>
  <c r="BM22" i="13"/>
  <c r="BM21" i="13"/>
  <c r="BM20" i="13"/>
  <c r="BM19" i="13"/>
  <c r="BM18" i="13"/>
  <c r="BM17" i="13"/>
  <c r="BM16" i="13"/>
  <c r="BM15" i="13"/>
  <c r="BM14" i="13"/>
  <c r="BN34" i="13"/>
  <c r="BN33" i="13"/>
  <c r="BN32" i="13"/>
  <c r="BN31" i="13"/>
  <c r="BN30" i="13"/>
  <c r="BN29" i="13"/>
  <c r="BN28" i="13"/>
  <c r="BN27" i="13"/>
  <c r="BN26" i="13"/>
  <c r="BN25" i="13"/>
  <c r="BN24" i="13"/>
  <c r="BN23" i="13"/>
  <c r="BN22" i="13"/>
  <c r="BN21" i="13"/>
  <c r="BN20" i="13"/>
  <c r="BN19" i="13"/>
  <c r="BN18" i="13"/>
  <c r="BN17" i="13"/>
  <c r="BN16" i="13"/>
  <c r="BN15" i="13"/>
  <c r="BN14" i="13"/>
  <c r="BL32" i="13"/>
  <c r="BL31" i="13"/>
  <c r="BL30" i="13"/>
  <c r="BL29" i="13"/>
  <c r="BL28" i="13"/>
  <c r="BL27" i="13"/>
  <c r="BL26" i="13"/>
  <c r="BL23" i="13"/>
  <c r="BL22" i="13"/>
  <c r="BL21" i="13"/>
  <c r="BL20" i="13"/>
  <c r="BL19" i="13"/>
  <c r="BL18" i="13"/>
  <c r="BL17" i="13"/>
  <c r="BL16" i="13"/>
  <c r="BL15" i="13"/>
  <c r="BL14" i="13"/>
  <c r="W34" i="13" l="1"/>
  <c r="W33" i="13"/>
  <c r="W31" i="13"/>
  <c r="W30" i="13"/>
  <c r="W25" i="13"/>
  <c r="W24" i="13"/>
  <c r="W23" i="13"/>
  <c r="W22" i="13"/>
  <c r="W21" i="13"/>
  <c r="W20" i="13"/>
  <c r="W17" i="13"/>
  <c r="W16" i="13"/>
  <c r="W15" i="13"/>
  <c r="W14" i="13"/>
  <c r="BM35" i="13"/>
  <c r="B36" i="13" l="1"/>
  <c r="C21" i="13" s="1"/>
  <c r="BK35" i="13"/>
  <c r="AM48" i="13"/>
  <c r="BQ38" i="13"/>
  <c r="AR35" i="13"/>
  <c r="AQ35" i="13"/>
  <c r="AP35" i="13"/>
  <c r="AO35" i="13"/>
  <c r="AN35" i="13"/>
  <c r="AM35" i="13"/>
  <c r="AL35" i="13"/>
  <c r="AK35" i="13"/>
  <c r="AD35" i="13"/>
  <c r="AD36" i="13" s="1"/>
  <c r="AC36" i="13"/>
  <c r="Y35" i="13"/>
  <c r="W35" i="13"/>
  <c r="W36" i="13" s="1"/>
  <c r="U35" i="13"/>
  <c r="U36" i="13" s="1"/>
  <c r="T35" i="13"/>
  <c r="T36" i="13" s="1"/>
  <c r="O35" i="13"/>
  <c r="O36" i="13" s="1"/>
  <c r="AA34" i="13"/>
  <c r="X34" i="13"/>
  <c r="V34" i="13"/>
  <c r="Q34" i="13"/>
  <c r="P34" i="13"/>
  <c r="M34" i="13"/>
  <c r="AA33" i="13"/>
  <c r="Q33" i="13"/>
  <c r="P33" i="13"/>
  <c r="M33" i="13"/>
  <c r="AA32" i="13"/>
  <c r="Q32" i="13"/>
  <c r="P32" i="13"/>
  <c r="M32" i="13"/>
  <c r="AA31" i="13"/>
  <c r="X31" i="13"/>
  <c r="P31" i="13"/>
  <c r="AA30" i="13"/>
  <c r="V30" i="13"/>
  <c r="P30" i="13"/>
  <c r="AA29" i="13"/>
  <c r="P29" i="13"/>
  <c r="AA28" i="13"/>
  <c r="P28" i="13"/>
  <c r="AB27" i="13"/>
  <c r="AB35" i="13" s="1"/>
  <c r="AB36" i="13" s="1"/>
  <c r="AA27" i="13"/>
  <c r="S27" i="13"/>
  <c r="S35" i="13" s="1"/>
  <c r="S36" i="13" s="1"/>
  <c r="P27" i="13"/>
  <c r="AA26" i="13"/>
  <c r="P26" i="13"/>
  <c r="BI25" i="13"/>
  <c r="AA25" i="13"/>
  <c r="X25" i="13"/>
  <c r="V25" i="13"/>
  <c r="P25" i="13"/>
  <c r="N25" i="13"/>
  <c r="AA24" i="13"/>
  <c r="AG24" i="13" s="1"/>
  <c r="BI23" i="13"/>
  <c r="AA23" i="13"/>
  <c r="V23" i="13"/>
  <c r="AA22" i="13"/>
  <c r="AA21" i="13"/>
  <c r="AA20" i="13"/>
  <c r="C20" i="13"/>
  <c r="AA19" i="13"/>
  <c r="AG19" i="13" s="1"/>
  <c r="AA18" i="13"/>
  <c r="AG18" i="13" s="1"/>
  <c r="AA17" i="13"/>
  <c r="AG17" i="13" s="1"/>
  <c r="C17" i="13"/>
  <c r="AA16" i="13"/>
  <c r="AA15" i="13"/>
  <c r="P15" i="13"/>
  <c r="AA14" i="13"/>
  <c r="V14" i="13"/>
  <c r="AG14" i="13" l="1"/>
  <c r="BH14" i="13" s="1"/>
  <c r="AG15" i="13"/>
  <c r="BH15" i="13" s="1"/>
  <c r="AG30" i="13"/>
  <c r="BH30" i="13" s="1"/>
  <c r="AG31" i="13"/>
  <c r="BH31" i="13" s="1"/>
  <c r="AG32" i="13"/>
  <c r="BH32" i="13" s="1"/>
  <c r="AG20" i="13"/>
  <c r="BH20" i="13" s="1"/>
  <c r="AG22" i="13"/>
  <c r="BH22" i="13" s="1"/>
  <c r="AG29" i="13"/>
  <c r="BH29" i="13" s="1"/>
  <c r="AG27" i="13"/>
  <c r="AG33" i="13"/>
  <c r="BH33" i="13" s="1"/>
  <c r="AG25" i="13"/>
  <c r="BH25" i="13" s="1"/>
  <c r="AG26" i="13"/>
  <c r="BH26" i="13" s="1"/>
  <c r="AG28" i="13"/>
  <c r="BH28" i="13" s="1"/>
  <c r="AG34" i="13"/>
  <c r="BH34" i="13" s="1"/>
  <c r="AG16" i="13"/>
  <c r="BH16" i="13" s="1"/>
  <c r="AG21" i="13"/>
  <c r="BH21" i="13" s="1"/>
  <c r="AG23" i="13"/>
  <c r="BH23" i="13" s="1"/>
  <c r="BJ18" i="13"/>
  <c r="Y36" i="13"/>
  <c r="N35" i="13"/>
  <c r="N36" i="13" s="1"/>
  <c r="BI35" i="13"/>
  <c r="X35" i="13"/>
  <c r="X36" i="13" s="1"/>
  <c r="BH24" i="13"/>
  <c r="BJ17" i="13"/>
  <c r="BJ22" i="13"/>
  <c r="BJ28" i="13"/>
  <c r="BJ32" i="13"/>
  <c r="R36" i="13"/>
  <c r="BJ14" i="13"/>
  <c r="BJ15" i="13"/>
  <c r="BJ21" i="13"/>
  <c r="BJ24" i="13"/>
  <c r="BJ30" i="13"/>
  <c r="BJ16" i="13"/>
  <c r="BJ27" i="13"/>
  <c r="BJ29" i="13"/>
  <c r="BJ19" i="13"/>
  <c r="BJ20" i="13"/>
  <c r="BJ23" i="13"/>
  <c r="BJ25" i="13"/>
  <c r="BJ26" i="13"/>
  <c r="BJ31" i="13"/>
  <c r="BJ33" i="13"/>
  <c r="BJ34" i="13"/>
  <c r="BL35" i="13"/>
  <c r="BN35" i="13"/>
  <c r="Q35" i="13"/>
  <c r="Q36" i="13" s="1"/>
  <c r="M35" i="13"/>
  <c r="AA35" i="13"/>
  <c r="AA36" i="13" s="1"/>
  <c r="BH19" i="13"/>
  <c r="V35" i="13"/>
  <c r="V36" i="13" s="1"/>
  <c r="P35" i="13"/>
  <c r="P36" i="13" s="1"/>
  <c r="BH17" i="13"/>
  <c r="BH18" i="13"/>
  <c r="BH27" i="13"/>
  <c r="M36" i="13" l="1"/>
  <c r="AG35" i="13"/>
  <c r="BJ35" i="13"/>
  <c r="C23" i="13"/>
  <c r="BH35" i="13"/>
  <c r="AG36" i="13" l="1"/>
  <c r="C19" i="13" s="1"/>
  <c r="C27" i="13" s="1"/>
  <c r="C30" i="13" l="1"/>
  <c r="AO37" i="13" s="1"/>
  <c r="AO42" i="13" l="1"/>
  <c r="AO41" i="13"/>
  <c r="AW33" i="13" s="1"/>
  <c r="AO43" i="13"/>
  <c r="AO47" i="13"/>
  <c r="BB21" i="13" s="1"/>
  <c r="AO46" i="13"/>
  <c r="BA24" i="13" s="1"/>
  <c r="AO45" i="13"/>
  <c r="AO44" i="13"/>
  <c r="AY32" i="13" s="1"/>
  <c r="AO39" i="13"/>
  <c r="AV18" i="13" s="1"/>
  <c r="BA15" i="13"/>
  <c r="BA32" i="13"/>
  <c r="BA21" i="13"/>
  <c r="BA17" i="13"/>
  <c r="BA33" i="13"/>
  <c r="BA18" i="13"/>
  <c r="BA16" i="13"/>
  <c r="BA34" i="13"/>
  <c r="BA29" i="13"/>
  <c r="BA23" i="13"/>
  <c r="BA26" i="13"/>
  <c r="BA14" i="13"/>
  <c r="BA27" i="13"/>
  <c r="BA19" i="13"/>
  <c r="BA31" i="13"/>
  <c r="BA28" i="13"/>
  <c r="AW25" i="13"/>
  <c r="AW15" i="13"/>
  <c r="AW14" i="13"/>
  <c r="AW26" i="13"/>
  <c r="AW22" i="13"/>
  <c r="AW27" i="13"/>
  <c r="AW19" i="13"/>
  <c r="AW24" i="13"/>
  <c r="AW31" i="13"/>
  <c r="AW20" i="13"/>
  <c r="AW29" i="13"/>
  <c r="AW28" i="13"/>
  <c r="AW34" i="13"/>
  <c r="AW17" i="13"/>
  <c r="AX25" i="13"/>
  <c r="AX32" i="13"/>
  <c r="AX22" i="13"/>
  <c r="AX28" i="13"/>
  <c r="AX18" i="13"/>
  <c r="AX29" i="13"/>
  <c r="AX21" i="13"/>
  <c r="AX34" i="13"/>
  <c r="AX26" i="13"/>
  <c r="AX16" i="13"/>
  <c r="AX14" i="13"/>
  <c r="AX33" i="13"/>
  <c r="AX19" i="13"/>
  <c r="AX23" i="13"/>
  <c r="AX30" i="13"/>
  <c r="AX31" i="13"/>
  <c r="AX20" i="13"/>
  <c r="AX15" i="13"/>
  <c r="AX17" i="13"/>
  <c r="AX27" i="13"/>
  <c r="AX24" i="13"/>
  <c r="AY20" i="13"/>
  <c r="AY33" i="13"/>
  <c r="AY28" i="13"/>
  <c r="AY26" i="13"/>
  <c r="AY18" i="13"/>
  <c r="AZ19" i="13"/>
  <c r="AZ31" i="13"/>
  <c r="AZ28" i="13"/>
  <c r="AZ23" i="13"/>
  <c r="AZ26" i="13"/>
  <c r="AZ20" i="13"/>
  <c r="AZ30" i="13"/>
  <c r="AZ27" i="13"/>
  <c r="AZ18" i="13"/>
  <c r="AZ24" i="13"/>
  <c r="AZ14" i="13"/>
  <c r="AZ16" i="13"/>
  <c r="AZ22" i="13"/>
  <c r="AZ32" i="13"/>
  <c r="AZ21" i="13"/>
  <c r="AZ15" i="13"/>
  <c r="AZ33" i="13"/>
  <c r="AZ25" i="13"/>
  <c r="AZ34" i="13"/>
  <c r="AZ17" i="13"/>
  <c r="AZ29" i="13"/>
  <c r="AW18" i="13" l="1"/>
  <c r="AW21" i="13"/>
  <c r="AY31" i="13"/>
  <c r="AY25" i="13"/>
  <c r="AY23" i="13"/>
  <c r="AY30" i="13"/>
  <c r="AY24" i="13"/>
  <c r="AV34" i="13"/>
  <c r="BC34" i="13" s="1"/>
  <c r="BO34" i="13" s="1"/>
  <c r="BQ34" i="13" s="1"/>
  <c r="AY22" i="13"/>
  <c r="AY16" i="13"/>
  <c r="AY27" i="13"/>
  <c r="AY29" i="13"/>
  <c r="AY34" i="13"/>
  <c r="AV17" i="13"/>
  <c r="AY14" i="13"/>
  <c r="AY21" i="13"/>
  <c r="BC21" i="13" s="1"/>
  <c r="BO21" i="13" s="1"/>
  <c r="BQ21" i="13" s="1"/>
  <c r="AY17" i="13"/>
  <c r="AY15" i="13"/>
  <c r="AY19" i="13"/>
  <c r="BB14" i="13"/>
  <c r="AW30" i="13"/>
  <c r="AW16" i="13"/>
  <c r="AW32" i="13"/>
  <c r="AW23" i="13"/>
  <c r="AV32" i="13"/>
  <c r="AV30" i="13"/>
  <c r="BB25" i="13"/>
  <c r="BA22" i="13"/>
  <c r="BA25" i="13"/>
  <c r="BA30" i="13"/>
  <c r="BA20" i="13"/>
  <c r="AV24" i="13"/>
  <c r="BB18" i="13"/>
  <c r="BC18" i="13" s="1"/>
  <c r="BO18" i="13" s="1"/>
  <c r="BQ18" i="13" s="1"/>
  <c r="BB28" i="13"/>
  <c r="AV31" i="13"/>
  <c r="BB31" i="13"/>
  <c r="AV16" i="13"/>
  <c r="AV20" i="13"/>
  <c r="AO48" i="13"/>
  <c r="AV29" i="13"/>
  <c r="AV14" i="13"/>
  <c r="AV23" i="13"/>
  <c r="BB20" i="13"/>
  <c r="BB29" i="13"/>
  <c r="BB34" i="13"/>
  <c r="BB27" i="13"/>
  <c r="BB24" i="13"/>
  <c r="AV33" i="13"/>
  <c r="AV25" i="13"/>
  <c r="AV26" i="13"/>
  <c r="AV15" i="13"/>
  <c r="AV22" i="13"/>
  <c r="BB23" i="13"/>
  <c r="BB26" i="13"/>
  <c r="BB32" i="13"/>
  <c r="BB22" i="13"/>
  <c r="BB30" i="13"/>
  <c r="BB15" i="13"/>
  <c r="AV19" i="13"/>
  <c r="AV28" i="13"/>
  <c r="AV21" i="13"/>
  <c r="AV27" i="13"/>
  <c r="BB33" i="13"/>
  <c r="BB16" i="13"/>
  <c r="BB19" i="13"/>
  <c r="BB17" i="13"/>
  <c r="BC32" i="13"/>
  <c r="BO32" i="13" s="1"/>
  <c r="BQ32" i="13" s="1"/>
  <c r="AX35" i="13"/>
  <c r="BC30" i="13"/>
  <c r="BO30" i="13" s="1"/>
  <c r="BQ30" i="13" s="1"/>
  <c r="AZ35" i="13"/>
  <c r="BC25" i="13" l="1"/>
  <c r="BO25" i="13" s="1"/>
  <c r="BQ25" i="13" s="1"/>
  <c r="BC24" i="13"/>
  <c r="BO24" i="13" s="1"/>
  <c r="BQ24" i="13" s="1"/>
  <c r="BC23" i="13"/>
  <c r="BO23" i="13" s="1"/>
  <c r="BQ23" i="13" s="1"/>
  <c r="BC26" i="13"/>
  <c r="BO26" i="13" s="1"/>
  <c r="BQ26" i="13" s="1"/>
  <c r="BC17" i="13"/>
  <c r="BO17" i="13" s="1"/>
  <c r="BQ17" i="13" s="1"/>
  <c r="BC16" i="13"/>
  <c r="BO16" i="13" s="1"/>
  <c r="BQ16" i="13" s="1"/>
  <c r="BC19" i="13"/>
  <c r="BO19" i="13" s="1"/>
  <c r="BQ19" i="13" s="1"/>
  <c r="BC20" i="13"/>
  <c r="BO20" i="13" s="1"/>
  <c r="BQ20" i="13" s="1"/>
  <c r="AY35" i="13"/>
  <c r="BC27" i="13"/>
  <c r="BO27" i="13" s="1"/>
  <c r="BQ27" i="13" s="1"/>
  <c r="BC15" i="13"/>
  <c r="BO15" i="13" s="1"/>
  <c r="BQ15" i="13" s="1"/>
  <c r="BC14" i="13"/>
  <c r="BO14" i="13" s="1"/>
  <c r="BC28" i="13"/>
  <c r="BO28" i="13" s="1"/>
  <c r="BQ28" i="13" s="1"/>
  <c r="BC33" i="13"/>
  <c r="BO33" i="13" s="1"/>
  <c r="BQ33" i="13" s="1"/>
  <c r="BC29" i="13"/>
  <c r="BO29" i="13" s="1"/>
  <c r="BQ29" i="13" s="1"/>
  <c r="BC31" i="13"/>
  <c r="BO31" i="13" s="1"/>
  <c r="BQ31" i="13" s="1"/>
  <c r="BA35" i="13"/>
  <c r="AW35" i="13"/>
  <c r="AV35" i="13"/>
  <c r="BB35" i="13"/>
  <c r="BC22" i="13"/>
  <c r="BO22" i="13" s="1"/>
  <c r="BQ22" i="13" s="1"/>
  <c r="BC35" i="13" l="1"/>
  <c r="BO35" i="13"/>
  <c r="BQ14" i="13"/>
  <c r="BQ35" i="13" l="1"/>
  <c r="BR14" i="13" s="1"/>
  <c r="BR35" i="13" l="1"/>
  <c r="BQ41" i="13"/>
  <c r="BR31" i="13"/>
  <c r="BR32" i="13"/>
  <c r="BR24" i="13"/>
  <c r="BR29" i="13"/>
  <c r="BR26" i="13"/>
  <c r="BR20" i="13"/>
  <c r="BR19" i="13"/>
  <c r="BR27" i="13"/>
  <c r="BR22" i="13"/>
  <c r="BR30" i="13"/>
  <c r="BR18" i="13"/>
  <c r="BR25" i="13"/>
  <c r="BR23" i="13"/>
  <c r="BR33" i="13"/>
  <c r="BR28" i="13"/>
  <c r="BR17" i="13"/>
  <c r="BR16" i="13"/>
  <c r="BR15" i="13"/>
  <c r="BR34" i="13"/>
  <c r="BR21" i="13"/>
</calcChain>
</file>

<file path=xl/sharedStrings.xml><?xml version="1.0" encoding="utf-8"?>
<sst xmlns="http://schemas.openxmlformats.org/spreadsheetml/2006/main" count="226" uniqueCount="150">
  <si>
    <t>Ap 22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</si>
  <si>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</si>
  <si>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</si>
  <si>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</si>
  <si>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</si>
  <si>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</si>
  <si>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</si>
  <si>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</si>
  <si>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</si>
  <si>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</si>
  <si>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</si>
  <si>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</si>
  <si>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</si>
  <si>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</si>
  <si>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</si>
  <si>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</si>
  <si>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</si>
  <si>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</si>
  <si>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</si>
  <si>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</si>
  <si>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</si>
  <si>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</si>
  <si>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 xml:space="preserve">GIS </t>
  </si>
  <si>
    <t>Kamp</t>
  </si>
  <si>
    <t>Havs</t>
  </si>
  <si>
    <t>Avgår riktade medel</t>
  </si>
  <si>
    <t xml:space="preserve">Avgår extra orter </t>
  </si>
  <si>
    <t>Avgår grundbelopp</t>
  </si>
  <si>
    <t>Medel att fördela</t>
  </si>
  <si>
    <t xml:space="preserve"> </t>
  </si>
  <si>
    <t>VIKT</t>
  </si>
  <si>
    <t xml:space="preserve">folkmängd </t>
  </si>
  <si>
    <t>landyta inkl sjöar &amp; hav</t>
  </si>
  <si>
    <t>kommunantal</t>
  </si>
  <si>
    <t>länsanslag</t>
  </si>
  <si>
    <t>Miljöavgifter</t>
  </si>
  <si>
    <t>jordbr. landsb. stöd</t>
  </si>
  <si>
    <t>djurskyddskontr</t>
  </si>
  <si>
    <t>inkl strand</t>
  </si>
  <si>
    <t>antal</t>
  </si>
  <si>
    <t>anslag</t>
  </si>
  <si>
    <t>avgift</t>
  </si>
  <si>
    <t>landsb. stöd</t>
  </si>
  <si>
    <t>kontr</t>
  </si>
  <si>
    <t>SUMMA</t>
  </si>
  <si>
    <t>avgifter</t>
  </si>
  <si>
    <t>7 parametrar</t>
  </si>
  <si>
    <t xml:space="preserve">Riktade </t>
  </si>
  <si>
    <t>Grund-</t>
  </si>
  <si>
    <t>sju</t>
  </si>
  <si>
    <t>medel</t>
  </si>
  <si>
    <t>belopp</t>
  </si>
  <si>
    <t>parametrar</t>
  </si>
  <si>
    <t>Grundbelopp</t>
  </si>
  <si>
    <t>naturreservat</t>
  </si>
  <si>
    <t>Summa</t>
  </si>
  <si>
    <t>Avrundningseffekt</t>
  </si>
  <si>
    <t>Ofördelat</t>
  </si>
  <si>
    <t>Totalt</t>
  </si>
  <si>
    <t>grundbeloppet justeras isf egen kolumn under riktade medel.</t>
  </si>
  <si>
    <t xml:space="preserve">slopanden av Hermesavgiften. From 2013 regleras detta genom att </t>
  </si>
  <si>
    <t>Grundbeloppet = 34,0 - 0,1 * 1,0057. 2012 drogs 100 tkr från varje lst för</t>
  </si>
  <si>
    <t>Till parametrar</t>
  </si>
  <si>
    <t>Till modellen</t>
  </si>
  <si>
    <t>inkl PLO</t>
  </si>
  <si>
    <t>ej PLO</t>
  </si>
  <si>
    <t>6*3 mnkr</t>
  </si>
  <si>
    <t>Inkl KSO</t>
  </si>
  <si>
    <t>Att fördela i modell</t>
  </si>
  <si>
    <t>Avgår ap 22 utvanslag</t>
  </si>
  <si>
    <t xml:space="preserve">Adm chefer </t>
  </si>
  <si>
    <t>orter</t>
  </si>
  <si>
    <t>vat</t>
  </si>
  <si>
    <t>BP18</t>
  </si>
  <si>
    <t>BP17</t>
  </si>
  <si>
    <t>planering</t>
  </si>
  <si>
    <t>BP11</t>
  </si>
  <si>
    <t>jordbr stöd</t>
  </si>
  <si>
    <t>flyktingmott/</t>
  </si>
  <si>
    <t>sport</t>
  </si>
  <si>
    <t xml:space="preserve">Sverige </t>
  </si>
  <si>
    <t>a-kredit</t>
  </si>
  <si>
    <t xml:space="preserve">modellen </t>
  </si>
  <si>
    <t>Extra</t>
  </si>
  <si>
    <t>reser-</t>
  </si>
  <si>
    <t>GRÖT</t>
  </si>
  <si>
    <t>Övergripande fördelning enligt riksdagsbeslut</t>
  </si>
  <si>
    <t>Summa totalt</t>
  </si>
  <si>
    <t>ej plo</t>
  </si>
  <si>
    <t>plo</t>
  </si>
  <si>
    <t>DEN SAMLADE FÖRDELNINGEN</t>
  </si>
  <si>
    <t>RESULTAT PER PARAMETER</t>
  </si>
  <si>
    <t>DE SJU PARAMETRARNA</t>
  </si>
  <si>
    <t>Avgår dispositionsrätt Örebro</t>
  </si>
  <si>
    <t xml:space="preserve">Enskilda </t>
  </si>
  <si>
    <t>Konc</t>
  </si>
  <si>
    <t>av MPD</t>
  </si>
  <si>
    <t>av div</t>
  </si>
  <si>
    <t>21* 38,67 mnkr</t>
  </si>
  <si>
    <t>Avgår koncentration</t>
  </si>
  <si>
    <t>av stiftelser</t>
  </si>
  <si>
    <t>BP20</t>
  </si>
  <si>
    <t>program</t>
  </si>
  <si>
    <t>Samordning</t>
  </si>
  <si>
    <t xml:space="preserve">EU:s </t>
  </si>
  <si>
    <t>Territoriella</t>
  </si>
  <si>
    <t>Avgår Örebro och Västernorrland</t>
  </si>
  <si>
    <t>Penning-</t>
  </si>
  <si>
    <t>etablering</t>
  </si>
  <si>
    <t>Överföring</t>
  </si>
  <si>
    <t>från</t>
  </si>
  <si>
    <t>Djurskydd</t>
  </si>
  <si>
    <t>Civilt försvar</t>
  </si>
  <si>
    <t>Djurfrågor</t>
  </si>
  <si>
    <t>(1-årigt)</t>
  </si>
  <si>
    <t xml:space="preserve">bidrag </t>
  </si>
  <si>
    <t>Folkmängd</t>
  </si>
  <si>
    <t xml:space="preserve">Areal </t>
  </si>
  <si>
    <t>Kommun-</t>
  </si>
  <si>
    <t>Läns-</t>
  </si>
  <si>
    <t>Miljö-</t>
  </si>
  <si>
    <t>Jordbrukar</t>
  </si>
  <si>
    <t>Djurskydds</t>
  </si>
  <si>
    <t>Modell 2020, avgår riktade medel som fördelats sedan 1998 (berörda poster uppräknat i 2020-års nivå)</t>
  </si>
  <si>
    <t>Att fördela, år 2020</t>
  </si>
  <si>
    <t xml:space="preserve"> Miljö</t>
  </si>
  <si>
    <t xml:space="preserve">samverkan </t>
  </si>
  <si>
    <t>Rovdjurs</t>
  </si>
  <si>
    <t>förvaltning</t>
  </si>
  <si>
    <t>Avfalls</t>
  </si>
  <si>
    <t>transp.</t>
  </si>
  <si>
    <t xml:space="preserve"> delg  2014</t>
  </si>
  <si>
    <t>Uppgift</t>
  </si>
  <si>
    <t>Fiskv.</t>
  </si>
  <si>
    <t>Central</t>
  </si>
  <si>
    <t>mynd intern</t>
  </si>
  <si>
    <t>EU:s jord</t>
  </si>
  <si>
    <t xml:space="preserve">bruksstöd </t>
  </si>
  <si>
    <t>Ren</t>
  </si>
  <si>
    <t>näring</t>
  </si>
  <si>
    <t>Avgår utvecklingsmedel Västmanland</t>
  </si>
  <si>
    <t>tvätt 2009</t>
  </si>
  <si>
    <t>2012, 2020</t>
  </si>
  <si>
    <t>BP18-20</t>
  </si>
  <si>
    <t>BP19-20</t>
  </si>
  <si>
    <t>Livsmedel</t>
  </si>
  <si>
    <t>strategi</t>
  </si>
  <si>
    <t>Avgår Norrland livsmedelsstrategin</t>
  </si>
  <si>
    <t>Införande-</t>
  </si>
  <si>
    <t>Ofördelat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</si>
</sst>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2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OrigGarmnd BT"/>
      <family val="1"/>
    </font>
    <font>
      <b/>
      <sz val="8"/>
      <name val="OrigGarmnd BT"/>
      <family val="1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10"/>
      <name val="OrigGarmnd BT"/>
      <family val="1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b/>
      <i/>
      <sz val="8"/>
      <name val="Arial"/>
      <family val="2"/>
    </font>
    <font>
      <b/>
      <sz val="11"/>
      <name val="OrigGarmnd BT"/>
      <family val="1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  <font>
      <b/>
      <sz val="8"/>
      <color theme="0"/>
      <name val="OrigGarmnd BT"/>
      <family val="1"/>
    </font>
    <font>
      <sz val="10"/>
      <color rgb="FFFFFF00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indexed="44"/>
        <bgColor indexed="41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indexed="41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3" fillId="0" borderId="0" xfId="1"/>
    <xf numFmtId="0" fontId="8" fillId="0" borderId="0" xfId="1" applyFont="1" applyFill="1" applyBorder="1" applyAlignment="1">
      <alignment horizontal="right"/>
    </xf>
    <xf numFmtId="0" fontId="3" fillId="0" borderId="0" xfId="1" applyBorder="1" applyAlignment="1">
      <alignment horizontal="right"/>
    </xf>
    <xf numFmtId="0" fontId="2" fillId="0" borderId="8" xfId="1" applyFont="1" applyFill="1" applyBorder="1" applyAlignment="1">
      <alignment horizontal="right"/>
    </xf>
    <xf numFmtId="0" fontId="3" fillId="0" borderId="0" xfId="1" applyFill="1" applyBorder="1" applyAlignment="1">
      <alignment horizontal="right"/>
    </xf>
    <xf numFmtId="3" fontId="5" fillId="2" borderId="0" xfId="1" applyNumberFormat="1" applyFont="1" applyFill="1" applyBorder="1"/>
    <xf numFmtId="0" fontId="1" fillId="2" borderId="0" xfId="1" applyFont="1" applyFill="1" applyBorder="1"/>
    <xf numFmtId="164" fontId="5" fillId="3" borderId="12" xfId="1" applyNumberFormat="1" applyFont="1" applyFill="1" applyBorder="1"/>
    <xf numFmtId="0" fontId="5" fillId="2" borderId="0" xfId="1" applyFont="1" applyFill="1" applyBorder="1"/>
    <xf numFmtId="0" fontId="1" fillId="0" borderId="0" xfId="1" applyFont="1" applyFill="1" applyBorder="1"/>
    <xf numFmtId="3" fontId="1" fillId="0" borderId="0" xfId="1" applyNumberFormat="1" applyFont="1" applyFill="1" applyBorder="1"/>
    <xf numFmtId="3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3" fontId="2" fillId="2" borderId="0" xfId="1" applyNumberFormat="1" applyFont="1" applyFill="1" applyBorder="1"/>
    <xf numFmtId="0" fontId="2" fillId="2" borderId="0" xfId="1" applyFont="1" applyFill="1" applyBorder="1"/>
    <xf numFmtId="164" fontId="4" fillId="3" borderId="11" xfId="1" applyNumberFormat="1" applyFont="1" applyFill="1" applyBorder="1"/>
    <xf numFmtId="0" fontId="4" fillId="2" borderId="0" xfId="1" applyFont="1" applyFill="1" applyBorder="1"/>
    <xf numFmtId="165" fontId="1" fillId="0" borderId="0" xfId="1" applyNumberFormat="1" applyFont="1" applyBorder="1"/>
    <xf numFmtId="3" fontId="2" fillId="0" borderId="0" xfId="1" applyNumberFormat="1" applyFont="1" applyBorder="1"/>
    <xf numFmtId="164" fontId="2" fillId="3" borderId="11" xfId="2" applyNumberFormat="1" applyFont="1" applyFill="1" applyBorder="1"/>
    <xf numFmtId="0" fontId="2" fillId="0" borderId="0" xfId="1" quotePrefix="1" applyFont="1" applyFill="1" applyBorder="1"/>
    <xf numFmtId="0" fontId="2" fillId="0" borderId="0" xfId="1" applyFont="1" applyBorder="1"/>
    <xf numFmtId="3" fontId="1" fillId="0" borderId="0" xfId="1" applyNumberFormat="1" applyFont="1" applyBorder="1"/>
    <xf numFmtId="9" fontId="2" fillId="0" borderId="0" xfId="1" applyNumberFormat="1" applyFont="1" applyBorder="1"/>
    <xf numFmtId="3" fontId="6" fillId="0" borderId="0" xfId="2" applyNumberFormat="1" applyFont="1" applyFill="1" applyBorder="1" applyAlignment="1">
      <alignment horizontal="right"/>
    </xf>
    <xf numFmtId="1" fontId="1" fillId="0" borderId="0" xfId="1" applyNumberFormat="1" applyFont="1" applyBorder="1"/>
    <xf numFmtId="0" fontId="2" fillId="6" borderId="0" xfId="1" applyFont="1" applyFill="1" applyBorder="1" applyAlignment="1">
      <alignment horizontal="right"/>
    </xf>
    <xf numFmtId="3" fontId="2" fillId="6" borderId="0" xfId="1" applyNumberFormat="1" applyFont="1" applyFill="1" applyBorder="1" applyAlignment="1">
      <alignment horizontal="right"/>
    </xf>
    <xf numFmtId="164" fontId="2" fillId="3" borderId="11" xfId="2" quotePrefix="1" applyNumberFormat="1" applyFont="1" applyFill="1" applyBorder="1"/>
    <xf numFmtId="9" fontId="2" fillId="0" borderId="0" xfId="2" applyFont="1" applyFill="1" applyBorder="1"/>
    <xf numFmtId="164" fontId="2" fillId="0" borderId="0" xfId="2" applyNumberFormat="1" applyFont="1" applyFill="1" applyBorder="1" applyAlignment="1">
      <alignment horizontal="right"/>
    </xf>
    <xf numFmtId="164" fontId="9" fillId="6" borderId="0" xfId="2" applyNumberFormat="1" applyFont="1" applyFill="1" applyBorder="1" applyAlignment="1">
      <alignment horizontal="right"/>
    </xf>
    <xf numFmtId="10" fontId="9" fillId="6" borderId="0" xfId="2" applyNumberFormat="1" applyFont="1" applyFill="1" applyBorder="1" applyAlignment="1">
      <alignment horizontal="right"/>
    </xf>
    <xf numFmtId="3" fontId="2" fillId="6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3" fontId="1" fillId="2" borderId="19" xfId="1" applyNumberFormat="1" applyFont="1" applyFill="1" applyBorder="1"/>
    <xf numFmtId="0" fontId="1" fillId="2" borderId="19" xfId="1" applyFont="1" applyFill="1" applyBorder="1"/>
    <xf numFmtId="0" fontId="1" fillId="0" borderId="0" xfId="1" applyFont="1" applyBorder="1"/>
    <xf numFmtId="0" fontId="3" fillId="0" borderId="0" xfId="1" applyFont="1" applyFill="1" applyBorder="1"/>
    <xf numFmtId="164" fontId="2" fillId="0" borderId="0" xfId="2" applyNumberFormat="1" applyFont="1" applyFill="1" applyBorder="1"/>
    <xf numFmtId="10" fontId="2" fillId="0" borderId="0" xfId="2" applyNumberFormat="1" applyFont="1" applyFill="1" applyBorder="1" applyAlignment="1">
      <alignment horizontal="right"/>
    </xf>
    <xf numFmtId="3" fontId="1" fillId="2" borderId="0" xfId="1" applyNumberFormat="1" applyFont="1" applyFill="1" applyBorder="1"/>
    <xf numFmtId="0" fontId="1" fillId="0" borderId="0" xfId="1" applyFont="1" applyBorder="1" applyAlignment="1">
      <alignment horizontal="center"/>
    </xf>
    <xf numFmtId="0" fontId="1" fillId="3" borderId="10" xfId="1" applyFont="1" applyFill="1" applyBorder="1" applyAlignment="1">
      <alignment horizontal="center"/>
    </xf>
    <xf numFmtId="3" fontId="4" fillId="0" borderId="0" xfId="1" applyNumberFormat="1" applyFont="1" applyFill="1" applyBorder="1"/>
    <xf numFmtId="3" fontId="1" fillId="2" borderId="20" xfId="1" applyNumberFormat="1" applyFont="1" applyFill="1" applyBorder="1" applyAlignment="1">
      <alignment horizontal="right"/>
    </xf>
    <xf numFmtId="3" fontId="1" fillId="2" borderId="21" xfId="1" applyNumberFormat="1" applyFont="1" applyFill="1" applyBorder="1" applyAlignment="1">
      <alignment horizontal="right"/>
    </xf>
    <xf numFmtId="3" fontId="1" fillId="0" borderId="22" xfId="1" applyNumberFormat="1" applyFont="1" applyFill="1" applyBorder="1" applyAlignment="1">
      <alignment horizontal="right"/>
    </xf>
    <xf numFmtId="3" fontId="1" fillId="2" borderId="23" xfId="1" applyNumberFormat="1" applyFont="1" applyFill="1" applyBorder="1" applyAlignment="1">
      <alignment horizontal="right"/>
    </xf>
    <xf numFmtId="3" fontId="10" fillId="0" borderId="0" xfId="1" applyNumberFormat="1" applyFont="1" applyFill="1" applyBorder="1"/>
    <xf numFmtId="3" fontId="5" fillId="2" borderId="8" xfId="1" applyNumberFormat="1" applyFont="1" applyFill="1" applyBorder="1"/>
    <xf numFmtId="9" fontId="5" fillId="2" borderId="8" xfId="2" applyFont="1" applyFill="1" applyBorder="1"/>
    <xf numFmtId="3" fontId="2" fillId="3" borderId="16" xfId="1" applyNumberFormat="1" applyFont="1" applyFill="1" applyBorder="1"/>
    <xf numFmtId="10" fontId="2" fillId="4" borderId="1" xfId="1" applyNumberFormat="1" applyFont="1" applyFill="1" applyBorder="1" applyAlignment="1">
      <alignment horizontal="right"/>
    </xf>
    <xf numFmtId="3" fontId="2" fillId="4" borderId="14" xfId="1" applyNumberFormat="1" applyFont="1" applyFill="1" applyBorder="1" applyAlignment="1">
      <alignment horizontal="right"/>
    </xf>
    <xf numFmtId="164" fontId="2" fillId="3" borderId="0" xfId="2" applyNumberFormat="1" applyFont="1" applyFill="1" applyBorder="1"/>
    <xf numFmtId="10" fontId="2" fillId="3" borderId="0" xfId="2" applyNumberFormat="1" applyFont="1" applyFill="1" applyBorder="1" applyAlignment="1">
      <alignment horizontal="right"/>
    </xf>
    <xf numFmtId="164" fontId="2" fillId="3" borderId="0" xfId="2" applyNumberFormat="1" applyFont="1" applyFill="1" applyBorder="1" applyAlignment="1">
      <alignment horizontal="right"/>
    </xf>
    <xf numFmtId="3" fontId="1" fillId="2" borderId="1" xfId="1" applyNumberFormat="1" applyFont="1" applyFill="1" applyBorder="1" applyAlignment="1">
      <alignment horizontal="right"/>
    </xf>
    <xf numFmtId="3" fontId="2" fillId="3" borderId="0" xfId="1" applyNumberFormat="1" applyFont="1" applyFill="1" applyBorder="1" applyAlignment="1">
      <alignment horizontal="right"/>
    </xf>
    <xf numFmtId="3" fontId="2" fillId="3" borderId="6" xfId="1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10" fontId="2" fillId="5" borderId="0" xfId="1" applyNumberFormat="1" applyFont="1" applyFill="1" applyBorder="1" applyAlignment="1">
      <alignment horizontal="right"/>
    </xf>
    <xf numFmtId="0" fontId="2" fillId="5" borderId="5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9" xfId="1" applyFont="1" applyFill="1" applyBorder="1" applyAlignment="1">
      <alignment horizontal="right"/>
    </xf>
    <xf numFmtId="2" fontId="3" fillId="0" borderId="8" xfId="1" applyNumberFormat="1" applyFont="1" applyFill="1" applyBorder="1" applyAlignment="1">
      <alignment horizontal="right"/>
    </xf>
    <xf numFmtId="3" fontId="6" fillId="0" borderId="8" xfId="1" applyNumberFormat="1" applyFont="1" applyFill="1" applyBorder="1" applyAlignment="1">
      <alignment horizontal="right"/>
    </xf>
    <xf numFmtId="0" fontId="3" fillId="0" borderId="8" xfId="1" applyFont="1" applyFill="1" applyBorder="1" applyAlignment="1">
      <alignment horizontal="right"/>
    </xf>
    <xf numFmtId="0" fontId="3" fillId="0" borderId="7" xfId="1" applyFont="1" applyFill="1" applyBorder="1"/>
    <xf numFmtId="0" fontId="3" fillId="0" borderId="6" xfId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3" fillId="0" borderId="5" xfId="1" applyFont="1" applyFill="1" applyBorder="1"/>
    <xf numFmtId="164" fontId="11" fillId="0" borderId="0" xfId="2" applyNumberFormat="1" applyFont="1" applyFill="1" applyBorder="1" applyAlignment="1">
      <alignment horizontal="right"/>
    </xf>
    <xf numFmtId="164" fontId="12" fillId="6" borderId="0" xfId="2" applyNumberFormat="1" applyFont="1" applyFill="1" applyBorder="1" applyAlignment="1">
      <alignment horizontal="right"/>
    </xf>
    <xf numFmtId="1" fontId="1" fillId="0" borderId="0" xfId="1" quotePrefix="1" applyNumberFormat="1" applyFont="1" applyFill="1" applyBorder="1" applyAlignment="1">
      <alignment horizontal="right"/>
    </xf>
    <xf numFmtId="0" fontId="9" fillId="6" borderId="0" xfId="1" applyFont="1" applyFill="1" applyBorder="1"/>
    <xf numFmtId="0" fontId="9" fillId="6" borderId="0" xfId="1" applyFont="1" applyFill="1" applyBorder="1" applyAlignment="1">
      <alignment horizontal="right"/>
    </xf>
    <xf numFmtId="9" fontId="2" fillId="6" borderId="0" xfId="2" applyFont="1" applyFill="1" applyBorder="1" applyAlignment="1">
      <alignment horizontal="right"/>
    </xf>
    <xf numFmtId="9" fontId="2" fillId="0" borderId="0" xfId="2" applyFont="1" applyFill="1" applyBorder="1" applyAlignment="1">
      <alignment horizontal="right"/>
    </xf>
    <xf numFmtId="4" fontId="2" fillId="0" borderId="0" xfId="2" applyNumberFormat="1" applyFont="1" applyFill="1" applyBorder="1" applyAlignment="1">
      <alignment horizontal="right"/>
    </xf>
    <xf numFmtId="10" fontId="2" fillId="0" borderId="0" xfId="2" quotePrefix="1" applyNumberFormat="1" applyFont="1" applyFill="1" applyBorder="1" applyAlignment="1">
      <alignment horizontal="right"/>
    </xf>
    <xf numFmtId="1" fontId="1" fillId="0" borderId="0" xfId="1" applyNumberFormat="1" applyFont="1" applyFill="1" applyBorder="1" applyAlignment="1">
      <alignment horizontal="right"/>
    </xf>
    <xf numFmtId="1" fontId="6" fillId="0" borderId="0" xfId="1" applyNumberFormat="1" applyFont="1" applyFill="1" applyBorder="1" applyAlignment="1">
      <alignment horizontal="right"/>
    </xf>
    <xf numFmtId="1" fontId="7" fillId="0" borderId="0" xfId="1" applyNumberFormat="1" applyFont="1" applyFill="1" applyBorder="1" applyAlignment="1">
      <alignment horizontal="right"/>
    </xf>
    <xf numFmtId="0" fontId="2" fillId="0" borderId="0" xfId="1" quotePrefix="1" applyFont="1" applyFill="1" applyBorder="1" applyAlignment="1">
      <alignment horizontal="right"/>
    </xf>
    <xf numFmtId="0" fontId="1" fillId="0" borderId="0" xfId="1" quotePrefix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/>
    </xf>
    <xf numFmtId="164" fontId="13" fillId="6" borderId="0" xfId="2" applyNumberFormat="1" applyFont="1" applyFill="1" applyBorder="1" applyAlignment="1">
      <alignment horizontal="right"/>
    </xf>
    <xf numFmtId="3" fontId="1" fillId="6" borderId="0" xfId="1" applyNumberFormat="1" applyFont="1" applyFill="1" applyBorder="1" applyAlignment="1">
      <alignment horizontal="right"/>
    </xf>
    <xf numFmtId="3" fontId="2" fillId="6" borderId="0" xfId="1" quotePrefix="1" applyNumberFormat="1" applyFont="1" applyFill="1" applyBorder="1" applyAlignment="1">
      <alignment horizontal="right"/>
    </xf>
    <xf numFmtId="9" fontId="6" fillId="0" borderId="0" xfId="2" applyFont="1" applyFill="1" applyBorder="1" applyAlignment="1">
      <alignment horizontal="right"/>
    </xf>
    <xf numFmtId="9" fontId="1" fillId="0" borderId="0" xfId="2" applyFont="1" applyFill="1" applyBorder="1" applyAlignment="1">
      <alignment horizontal="right"/>
    </xf>
    <xf numFmtId="164" fontId="9" fillId="6" borderId="0" xfId="2" applyNumberFormat="1" applyFont="1" applyFill="1" applyBorder="1"/>
    <xf numFmtId="164" fontId="9" fillId="6" borderId="0" xfId="2" quotePrefix="1" applyNumberFormat="1" applyFont="1" applyFill="1" applyBorder="1" applyAlignment="1">
      <alignment horizontal="right"/>
    </xf>
    <xf numFmtId="3" fontId="2" fillId="6" borderId="0" xfId="1" applyNumberFormat="1" applyFont="1" applyFill="1" applyBorder="1"/>
    <xf numFmtId="3" fontId="1" fillId="0" borderId="0" xfId="1" quotePrefix="1" applyNumberFormat="1" applyFont="1" applyFill="1" applyBorder="1" applyAlignment="1">
      <alignment horizontal="right"/>
    </xf>
    <xf numFmtId="0" fontId="14" fillId="0" borderId="0" xfId="1" applyFont="1" applyBorder="1"/>
    <xf numFmtId="9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/>
    <xf numFmtId="0" fontId="7" fillId="0" borderId="0" xfId="1" applyFont="1" applyFill="1" applyBorder="1" applyAlignment="1">
      <alignment horizontal="left"/>
    </xf>
    <xf numFmtId="0" fontId="3" fillId="0" borderId="6" xfId="1" applyFont="1" applyFill="1" applyBorder="1"/>
    <xf numFmtId="0" fontId="15" fillId="7" borderId="6" xfId="1" applyFont="1" applyFill="1" applyBorder="1"/>
    <xf numFmtId="0" fontId="15" fillId="7" borderId="0" xfId="1" applyFont="1" applyFill="1" applyBorder="1"/>
    <xf numFmtId="0" fontId="15" fillId="7" borderId="5" xfId="1" applyFont="1" applyFill="1" applyBorder="1"/>
    <xf numFmtId="3" fontId="2" fillId="2" borderId="24" xfId="1" applyNumberFormat="1" applyFont="1" applyFill="1" applyBorder="1" applyAlignment="1">
      <alignment horizontal="right"/>
    </xf>
    <xf numFmtId="9" fontId="1" fillId="4" borderId="13" xfId="1" applyNumberFormat="1" applyFont="1" applyFill="1" applyBorder="1" applyAlignment="1">
      <alignment horizontal="right"/>
    </xf>
    <xf numFmtId="1" fontId="1" fillId="4" borderId="13" xfId="1" applyNumberFormat="1" applyFont="1" applyFill="1" applyBorder="1" applyAlignment="1">
      <alignment horizontal="right"/>
    </xf>
    <xf numFmtId="0" fontId="2" fillId="4" borderId="13" xfId="1" applyFont="1" applyFill="1" applyBorder="1" applyAlignment="1">
      <alignment horizontal="right"/>
    </xf>
    <xf numFmtId="0" fontId="2" fillId="4" borderId="18" xfId="1" applyFont="1" applyFill="1" applyBorder="1" applyAlignment="1">
      <alignment horizontal="right"/>
    </xf>
    <xf numFmtId="0" fontId="1" fillId="4" borderId="15" xfId="1" applyFont="1" applyFill="1" applyBorder="1" applyAlignment="1">
      <alignment horizontal="right"/>
    </xf>
    <xf numFmtId="0" fontId="2" fillId="4" borderId="17" xfId="1" applyFont="1" applyFill="1" applyBorder="1"/>
    <xf numFmtId="0" fontId="1" fillId="2" borderId="13" xfId="1" applyFont="1" applyFill="1" applyBorder="1" applyAlignment="1">
      <alignment horizontal="right"/>
    </xf>
    <xf numFmtId="0" fontId="4" fillId="2" borderId="13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right"/>
    </xf>
    <xf numFmtId="3" fontId="4" fillId="2" borderId="15" xfId="1" applyNumberFormat="1" applyFont="1" applyFill="1" applyBorder="1"/>
    <xf numFmtId="0" fontId="2" fillId="2" borderId="13" xfId="1" applyFont="1" applyFill="1" applyBorder="1"/>
    <xf numFmtId="0" fontId="2" fillId="2" borderId="13" xfId="1" applyFont="1" applyFill="1" applyBorder="1" applyAlignment="1">
      <alignment horizontal="right"/>
    </xf>
    <xf numFmtId="3" fontId="1" fillId="2" borderId="18" xfId="1" applyNumberFormat="1" applyFont="1" applyFill="1" applyBorder="1" applyAlignment="1">
      <alignment horizontal="right"/>
    </xf>
    <xf numFmtId="0" fontId="16" fillId="7" borderId="4" xfId="1" applyFont="1" applyFill="1" applyBorder="1"/>
    <xf numFmtId="0" fontId="16" fillId="7" borderId="3" xfId="1" applyFont="1" applyFill="1" applyBorder="1"/>
    <xf numFmtId="3" fontId="16" fillId="7" borderId="3" xfId="1" applyNumberFormat="1" applyFont="1" applyFill="1" applyBorder="1" applyAlignment="1">
      <alignment horizontal="right"/>
    </xf>
    <xf numFmtId="0" fontId="16" fillId="7" borderId="2" xfId="1" applyFont="1" applyFill="1" applyBorder="1"/>
    <xf numFmtId="1" fontId="1" fillId="2" borderId="6" xfId="1" applyNumberFormat="1" applyFont="1" applyFill="1" applyBorder="1" applyAlignment="1">
      <alignment horizontal="right"/>
    </xf>
    <xf numFmtId="9" fontId="1" fillId="4" borderId="0" xfId="1" applyNumberFormat="1" applyFont="1" applyFill="1" applyBorder="1" applyAlignment="1">
      <alignment horizontal="right"/>
    </xf>
    <xf numFmtId="1" fontId="1" fillId="4" borderId="0" xfId="1" applyNumberFormat="1" applyFont="1" applyFill="1" applyBorder="1" applyAlignment="1">
      <alignment horizontal="right"/>
    </xf>
    <xf numFmtId="0" fontId="2" fillId="4" borderId="0" xfId="1" applyFont="1" applyFill="1" applyBorder="1" applyAlignment="1">
      <alignment horizontal="right"/>
    </xf>
    <xf numFmtId="0" fontId="2" fillId="4" borderId="1" xfId="1" applyFont="1" applyFill="1" applyBorder="1" applyAlignment="1">
      <alignment horizontal="right"/>
    </xf>
    <xf numFmtId="0" fontId="1" fillId="4" borderId="14" xfId="1" applyFont="1" applyFill="1" applyBorder="1" applyAlignment="1">
      <alignment horizontal="right"/>
    </xf>
    <xf numFmtId="0" fontId="1" fillId="4" borderId="0" xfId="1" applyFont="1" applyFill="1" applyBorder="1" applyAlignment="1">
      <alignment horizontal="right"/>
    </xf>
    <xf numFmtId="0" fontId="2" fillId="4" borderId="5" xfId="1" applyFont="1" applyFill="1" applyBorder="1"/>
    <xf numFmtId="0" fontId="1" fillId="2" borderId="0" xfId="1" applyFont="1" applyFill="1" applyBorder="1" applyAlignment="1">
      <alignment horizontal="right"/>
    </xf>
    <xf numFmtId="3" fontId="4" fillId="2" borderId="14" xfId="1" applyNumberFormat="1" applyFont="1" applyFill="1" applyBorder="1"/>
    <xf numFmtId="0" fontId="2" fillId="2" borderId="0" xfId="1" applyFont="1" applyFill="1" applyBorder="1" applyAlignment="1">
      <alignment horizontal="right"/>
    </xf>
    <xf numFmtId="0" fontId="1" fillId="2" borderId="1" xfId="1" applyFont="1" applyFill="1" applyBorder="1" applyAlignment="1">
      <alignment horizontal="right"/>
    </xf>
    <xf numFmtId="1" fontId="1" fillId="2" borderId="6" xfId="1" quotePrefix="1" applyNumberFormat="1" applyFont="1" applyFill="1" applyBorder="1" applyAlignment="1">
      <alignment horizontal="right"/>
    </xf>
    <xf numFmtId="0" fontId="2" fillId="2" borderId="1" xfId="1" applyFont="1" applyFill="1" applyBorder="1"/>
    <xf numFmtId="3" fontId="2" fillId="2" borderId="14" xfId="1" applyNumberFormat="1" applyFont="1" applyFill="1" applyBorder="1" applyAlignment="1">
      <alignment horizontal="right"/>
    </xf>
    <xf numFmtId="0" fontId="17" fillId="0" borderId="0" xfId="1" applyFont="1" applyFill="1" applyBorder="1"/>
    <xf numFmtId="3" fontId="2" fillId="2" borderId="6" xfId="1" applyNumberFormat="1" applyFont="1" applyFill="1" applyBorder="1"/>
    <xf numFmtId="3" fontId="2" fillId="4" borderId="0" xfId="1" applyNumberFormat="1" applyFont="1" applyFill="1" applyBorder="1"/>
    <xf numFmtId="0" fontId="2" fillId="4" borderId="0" xfId="1" applyFont="1" applyFill="1" applyBorder="1"/>
    <xf numFmtId="0" fontId="2" fillId="4" borderId="25" xfId="1" applyFont="1" applyFill="1" applyBorder="1"/>
    <xf numFmtId="0" fontId="1" fillId="4" borderId="26" xfId="1" applyFont="1" applyFill="1" applyBorder="1" applyAlignment="1">
      <alignment horizontal="right"/>
    </xf>
    <xf numFmtId="0" fontId="1" fillId="4" borderId="0" xfId="1" applyFont="1" applyFill="1" applyBorder="1"/>
    <xf numFmtId="0" fontId="18" fillId="2" borderId="0" xfId="1" applyFont="1" applyFill="1" applyBorder="1"/>
    <xf numFmtId="0" fontId="19" fillId="2" borderId="14" xfId="1" applyFont="1" applyFill="1" applyBorder="1"/>
    <xf numFmtId="0" fontId="20" fillId="2" borderId="1" xfId="1" applyFont="1" applyFill="1" applyBorder="1"/>
    <xf numFmtId="0" fontId="3" fillId="7" borderId="1" xfId="1" applyFill="1" applyBorder="1"/>
    <xf numFmtId="0" fontId="3" fillId="7" borderId="0" xfId="1" applyFont="1" applyFill="1" applyBorder="1"/>
    <xf numFmtId="0" fontId="22" fillId="7" borderId="0" xfId="1" applyFont="1" applyFill="1" applyBorder="1" applyAlignment="1">
      <alignment horizontal="right"/>
    </xf>
    <xf numFmtId="0" fontId="21" fillId="7" borderId="0" xfId="1" applyFont="1" applyFill="1" applyBorder="1" applyAlignment="1">
      <alignment horizontal="right"/>
    </xf>
    <xf numFmtId="0" fontId="3" fillId="7" borderId="0" xfId="1" applyFill="1" applyBorder="1"/>
    <xf numFmtId="0" fontId="18" fillId="7" borderId="0" xfId="1" applyFont="1" applyFill="1" applyBorder="1" applyAlignment="1">
      <alignment horizontal="right"/>
    </xf>
    <xf numFmtId="0" fontId="23" fillId="7" borderId="0" xfId="1" applyFont="1" applyFill="1" applyBorder="1" applyAlignment="1">
      <alignment horizontal="left"/>
    </xf>
    <xf numFmtId="0" fontId="2" fillId="7" borderId="0" xfId="1" applyFont="1" applyFill="1" applyBorder="1"/>
    <xf numFmtId="0" fontId="3" fillId="7" borderId="27" xfId="1" applyFill="1" applyBorder="1"/>
    <xf numFmtId="0" fontId="3" fillId="7" borderId="3" xfId="1" applyFill="1" applyBorder="1"/>
    <xf numFmtId="0" fontId="23" fillId="7" borderId="28" xfId="1" applyFont="1" applyFill="1" applyBorder="1" applyAlignment="1">
      <alignment horizontal="left"/>
    </xf>
    <xf numFmtId="0" fontId="18" fillId="7" borderId="3" xfId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3" fillId="3" borderId="0" xfId="1" applyFill="1" applyBorder="1" applyAlignment="1">
      <alignment horizontal="right"/>
    </xf>
    <xf numFmtId="0" fontId="3" fillId="0" borderId="8" xfId="1" applyFill="1" applyBorder="1" applyAlignment="1">
      <alignment horizontal="right"/>
    </xf>
    <xf numFmtId="1" fontId="3" fillId="0" borderId="0" xfId="1" applyNumberFormat="1" applyFont="1" applyFill="1" applyBorder="1"/>
    <xf numFmtId="0" fontId="3" fillId="0" borderId="0" xfId="1" applyFill="1"/>
    <xf numFmtId="0" fontId="24" fillId="7" borderId="0" xfId="1" applyFont="1" applyFill="1" applyBorder="1" applyAlignment="1">
      <alignment horizontal="left"/>
    </xf>
    <xf numFmtId="3" fontId="2" fillId="0" borderId="1" xfId="1" applyNumberFormat="1" applyFont="1" applyFill="1" applyBorder="1" applyAlignment="1">
      <alignment horizontal="right"/>
    </xf>
    <xf numFmtId="1" fontId="2" fillId="0" borderId="0" xfId="1" applyNumberFormat="1" applyFont="1" applyFill="1" applyBorder="1" applyAlignment="1">
      <alignment horizontal="right"/>
    </xf>
    <xf numFmtId="0" fontId="2" fillId="0" borderId="5" xfId="1" applyFont="1" applyFill="1" applyBorder="1"/>
    <xf numFmtId="10" fontId="2" fillId="0" borderId="0" xfId="1" applyNumberFormat="1" applyFont="1" applyFill="1" applyBorder="1" applyAlignment="1">
      <alignment horizontal="right"/>
    </xf>
    <xf numFmtId="0" fontId="2" fillId="0" borderId="7" xfId="1" applyFont="1" applyFill="1" applyBorder="1"/>
    <xf numFmtId="3" fontId="2" fillId="0" borderId="8" xfId="1" applyNumberFormat="1" applyFont="1" applyFill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3" fontId="2" fillId="0" borderId="9" xfId="1" applyNumberFormat="1" applyFont="1" applyFill="1" applyBorder="1" applyAlignment="1">
      <alignment horizontal="right"/>
    </xf>
    <xf numFmtId="10" fontId="2" fillId="2" borderId="1" xfId="1" applyNumberFormat="1" applyFont="1" applyFill="1" applyBorder="1" applyAlignment="1">
      <alignment horizontal="right"/>
    </xf>
    <xf numFmtId="0" fontId="2" fillId="2" borderId="13" xfId="1" applyFont="1" applyFill="1" applyBorder="1" applyAlignment="1">
      <alignment horizontal="left"/>
    </xf>
    <xf numFmtId="0" fontId="3" fillId="3" borderId="0" xfId="1" applyFill="1" applyBorder="1" applyAlignment="1">
      <alignment horizontal="left" vertical="top"/>
    </xf>
    <xf numFmtId="0" fontId="3" fillId="7" borderId="3" xfId="1" applyFill="1" applyBorder="1" applyAlignment="1">
      <alignment horizontal="left" vertical="top"/>
    </xf>
    <xf numFmtId="0" fontId="3" fillId="7" borderId="0" xfId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/>
    </xf>
    <xf numFmtId="0" fontId="2" fillId="2" borderId="13" xfId="1" applyFont="1" applyFill="1" applyBorder="1" applyAlignment="1">
      <alignment horizontal="left" vertical="top"/>
    </xf>
    <xf numFmtId="0" fontId="3" fillId="0" borderId="0" xfId="1" applyAlignment="1">
      <alignment horizontal="left" vertical="top"/>
    </xf>
    <xf numFmtId="0" fontId="21" fillId="2" borderId="0" xfId="1" applyFont="1" applyFill="1" applyBorder="1" applyAlignment="1">
      <alignment horizontal="left" vertical="center"/>
    </xf>
    <xf numFmtId="0" fontId="20" fillId="2" borderId="30" xfId="1" applyFont="1" applyFill="1" applyBorder="1"/>
    <xf numFmtId="3" fontId="1" fillId="2" borderId="29" xfId="1" applyNumberFormat="1" applyFont="1" applyFill="1" applyBorder="1" applyAlignment="1">
      <alignment horizontal="right"/>
    </xf>
    <xf numFmtId="0" fontId="4" fillId="2" borderId="0" xfId="1" applyFont="1" applyFill="1" applyBorder="1" applyAlignment="1">
      <alignment horizontal="left" vertical="top"/>
    </xf>
    <xf numFmtId="3" fontId="2" fillId="2" borderId="0" xfId="1" applyNumberFormat="1" applyFont="1" applyFill="1" applyBorder="1" applyAlignment="1">
      <alignment horizontal="left" vertical="top"/>
    </xf>
    <xf numFmtId="3" fontId="2" fillId="2" borderId="14" xfId="1" applyNumberFormat="1" applyFont="1" applyFill="1" applyBorder="1" applyAlignment="1">
      <alignment horizontal="left" vertical="top"/>
    </xf>
    <xf numFmtId="0" fontId="1" fillId="2" borderId="1" xfId="1" applyFont="1" applyFill="1" applyBorder="1" applyAlignment="1">
      <alignment horizontal="left" vertical="top"/>
    </xf>
    <xf numFmtId="3" fontId="1" fillId="2" borderId="18" xfId="1" applyNumberFormat="1" applyFont="1" applyFill="1" applyBorder="1" applyAlignment="1">
      <alignment horizontal="left" vertical="top"/>
    </xf>
    <xf numFmtId="0" fontId="1" fillId="2" borderId="30" xfId="1" applyFont="1" applyFill="1" applyBorder="1" applyAlignment="1">
      <alignment horizontal="left" vertical="top"/>
    </xf>
    <xf numFmtId="0" fontId="1" fillId="4" borderId="0" xfId="1" applyFont="1" applyFill="1" applyBorder="1" applyAlignment="1">
      <alignment horizontal="left" vertical="top"/>
    </xf>
    <xf numFmtId="0" fontId="1" fillId="4" borderId="13" xfId="1" applyFont="1" applyFill="1" applyBorder="1" applyAlignment="1">
      <alignment horizontal="left" vertical="top"/>
    </xf>
    <xf numFmtId="9" fontId="2" fillId="2" borderId="0" xfId="2" applyFont="1" applyFill="1" applyBorder="1"/>
    <xf numFmtId="0" fontId="2" fillId="2" borderId="7" xfId="1" applyFont="1" applyFill="1" applyBorder="1"/>
    <xf numFmtId="3" fontId="2" fillId="2" borderId="9" xfId="1" applyNumberFormat="1" applyFont="1" applyFill="1" applyBorder="1" applyAlignment="1">
      <alignment horizontal="right"/>
    </xf>
    <xf numFmtId="0" fontId="3" fillId="0" borderId="0" xfId="1" applyBorder="1" applyAlignment="1">
      <alignment horizontal="left" vertical="top"/>
    </xf>
    <xf numFmtId="0" fontId="3" fillId="0" borderId="0" xfId="1" applyBorder="1"/>
    <xf numFmtId="0" fontId="3" fillId="0" borderId="0" xfId="1" applyFill="1" applyBorder="1"/>
    <xf numFmtId="0" fontId="2" fillId="2" borderId="13" xfId="1" applyFont="1" applyFill="1" applyBorder="1" applyAlignment="1">
      <alignment vertical="top"/>
    </xf>
    <xf numFmtId="0" fontId="16" fillId="7" borderId="0" xfId="1" applyFont="1" applyFill="1" applyBorder="1" applyAlignment="1">
      <alignment horizontal="center" vertical="center"/>
    </xf>
    <xf numFmtId="0" fontId="16" fillId="8" borderId="5" xfId="1" applyFont="1" applyFill="1" applyBorder="1" applyAlignment="1">
      <alignment horizontal="center" vertical="center"/>
    </xf>
    <xf numFmtId="0" fontId="16" fillId="8" borderId="0" xfId="1" applyFont="1" applyFill="1" applyBorder="1" applyAlignment="1">
      <alignment horizontal="center" vertical="center"/>
    </xf>
    <xf numFmtId="0" fontId="16" fillId="8" borderId="6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E9150A4B-945D-48C5-9EBC-3907E565EE3F}"/>
    <cellStyle name="Procent 2" xfId="2" xr:uid="{E23A92D4-8F45-4658-B4D8-BAB8D2EAD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8A0E-3EBE-4B7F-8124-E9BB262B0D84}">
  <dimension ref="A5:DR63"/>
  <sheetViews>
    <sheetView showGridLines="0" tabSelected="1" topLeftCell="Z3" zoomScaleNormal="100" zoomScaleSheetLayoutView="90" zoomScalePageLayoutView="90" workbookViewId="0">
      <selection activeCell="AC12" sqref="AC12"/>
    </sheetView>
  </sheetViews>
  <sheetFormatPr defaultColWidth="9.140625" defaultRowHeight="15.75" x14ac:dyDescent="0.25"/>
  <cols>
    <col min="1" max="1" width="15.140625" style="1" bestFit="1" customWidth="1"/>
    <col min="2" max="2" width="22.85546875" style="1" customWidth="1"/>
    <col min="3" max="3" width="12.140625" style="1" customWidth="1"/>
    <col min="4" max="4" width="15.28515625" style="1" customWidth="1"/>
    <col min="5" max="5" width="21.85546875" style="1" customWidth="1"/>
    <col min="6" max="6" width="3.28515625" style="1" customWidth="1"/>
    <col min="7" max="8" width="6.28515625" style="1" customWidth="1"/>
    <col min="9" max="9" width="14.5703125" style="1" hidden="1" customWidth="1"/>
    <col min="10" max="10" width="11.28515625" style="3" hidden="1" customWidth="1"/>
    <col min="11" max="11" width="15.28515625" style="3" customWidth="1"/>
    <col min="12" max="12" width="15.7109375" style="3" customWidth="1"/>
    <col min="13" max="13" width="7.140625" style="3" bestFit="1" customWidth="1"/>
    <col min="14" max="14" width="4.42578125" style="3" bestFit="1" customWidth="1"/>
    <col min="15" max="15" width="9.28515625" style="3" bestFit="1" customWidth="1"/>
    <col min="16" max="16" width="8.7109375" style="3" bestFit="1" customWidth="1"/>
    <col min="17" max="17" width="9" style="191" bestFit="1" customWidth="1"/>
    <col min="18" max="18" width="8.140625" style="7" bestFit="1" customWidth="1"/>
    <col min="19" max="19" width="5.42578125" style="7" customWidth="1"/>
    <col min="20" max="20" width="10" style="7" bestFit="1" customWidth="1"/>
    <col min="21" max="21" width="8.7109375" style="174" bestFit="1" customWidth="1"/>
    <col min="22" max="22" width="6.140625" style="7" bestFit="1" customWidth="1"/>
    <col min="23" max="23" width="7.85546875" style="174" customWidth="1"/>
    <col min="24" max="24" width="6.28515625" style="174" bestFit="1" customWidth="1"/>
    <col min="25" max="25" width="9.5703125" style="174" bestFit="1" customWidth="1"/>
    <col min="26" max="26" width="8.140625" style="174" customWidth="1"/>
    <col min="27" max="27" width="9.85546875" style="7" customWidth="1"/>
    <col min="28" max="28" width="8.28515625" style="7" bestFit="1" customWidth="1"/>
    <col min="29" max="29" width="7.140625" style="7" bestFit="1" customWidth="1"/>
    <col min="30" max="30" width="8.5703125" style="174" bestFit="1" customWidth="1"/>
    <col min="31" max="31" width="7.42578125" style="174" bestFit="1" customWidth="1"/>
    <col min="32" max="32" width="8.140625" style="174" bestFit="1" customWidth="1"/>
    <col min="33" max="33" width="9.85546875" style="7" customWidth="1"/>
    <col min="34" max="35" width="11.5703125" style="1" hidden="1" customWidth="1"/>
    <col min="36" max="36" width="15.7109375" style="1" bestFit="1" customWidth="1"/>
    <col min="37" max="37" width="17.5703125" style="1" bestFit="1" customWidth="1"/>
    <col min="38" max="38" width="10.42578125" style="1" bestFit="1" customWidth="1"/>
    <col min="39" max="39" width="9.5703125" style="1" customWidth="1"/>
    <col min="40" max="40" width="0.140625" style="1" customWidth="1"/>
    <col min="41" max="41" width="10.140625" style="1" bestFit="1" customWidth="1"/>
    <col min="42" max="42" width="9.140625" style="1" customWidth="1"/>
    <col min="43" max="43" width="12" style="1" bestFit="1" customWidth="1"/>
    <col min="44" max="44" width="9.7109375" style="1" customWidth="1"/>
    <col min="45" max="47" width="9.140625" style="1" hidden="1" customWidth="1"/>
    <col min="48" max="48" width="9.7109375" style="1" customWidth="1"/>
    <col min="49" max="49" width="8.5703125" style="1" customWidth="1"/>
    <col min="50" max="50" width="8.7109375" style="1" customWidth="1"/>
    <col min="51" max="51" width="7.5703125" style="1" customWidth="1"/>
    <col min="52" max="54" width="9.28515625" style="1" customWidth="1"/>
    <col min="55" max="55" width="11.5703125" style="1" customWidth="1"/>
    <col min="56" max="58" width="2" style="1" customWidth="1"/>
    <col min="59" max="59" width="12.5703125" style="1" customWidth="1"/>
    <col min="60" max="60" width="12.85546875" style="1" customWidth="1"/>
    <col min="61" max="61" width="7.140625" style="1" customWidth="1"/>
    <col min="62" max="62" width="8.5703125" style="1" customWidth="1"/>
    <col min="63" max="63" width="12.28515625" style="1" customWidth="1"/>
    <col min="64" max="65" width="10.140625" style="1" customWidth="1"/>
    <col min="66" max="66" width="10.85546875" style="1" customWidth="1"/>
    <col min="67" max="67" width="11" style="1" customWidth="1"/>
    <col min="68" max="68" width="2.140625" style="1" customWidth="1"/>
    <col min="69" max="69" width="10.140625" style="1" customWidth="1"/>
    <col min="70" max="70" width="8.85546875" style="1" customWidth="1"/>
    <col min="71" max="71" width="1.28515625" style="1" customWidth="1"/>
    <col min="72" max="72" width="2.28515625" style="2" customWidth="1"/>
    <col min="73" max="73" width="7.5703125" style="2" customWidth="1"/>
    <col min="74" max="74" width="2.28515625" style="2" customWidth="1"/>
    <col min="75" max="76" width="10.5703125" style="4" customWidth="1"/>
    <col min="77" max="77" width="15.42578125" style="6" customWidth="1"/>
    <col min="78" max="78" width="12.140625" style="5" customWidth="1"/>
    <col min="79" max="79" width="15.7109375" style="5" bestFit="1" customWidth="1"/>
    <col min="80" max="80" width="12.140625" style="5" customWidth="1"/>
    <col min="81" max="81" width="10.5703125" style="2" customWidth="1"/>
    <col min="82" max="82" width="11.5703125" style="4" customWidth="1"/>
    <col min="83" max="83" width="6.28515625" style="2" bestFit="1" customWidth="1"/>
    <col min="84" max="84" width="2.42578125" style="2" customWidth="1"/>
    <col min="85" max="85" width="8.5703125" style="2" customWidth="1"/>
    <col min="86" max="86" width="2.28515625" style="2" customWidth="1"/>
    <col min="87" max="87" width="8.140625" style="2" customWidth="1"/>
    <col min="88" max="88" width="5.7109375" style="2" bestFit="1" customWidth="1"/>
    <col min="89" max="89" width="5.42578125" style="2" bestFit="1" customWidth="1"/>
    <col min="90" max="90" width="1.5703125" style="2" customWidth="1"/>
    <col min="91" max="91" width="9.5703125" style="4" hidden="1" customWidth="1"/>
    <col min="92" max="92" width="2.140625" style="2" hidden="1" customWidth="1"/>
    <col min="93" max="93" width="9.42578125" style="3" hidden="1" customWidth="1"/>
    <col min="94" max="94" width="1.5703125" style="1" hidden="1" customWidth="1"/>
    <col min="95" max="95" width="10.7109375" style="1" customWidth="1"/>
    <col min="96" max="96" width="12.140625" style="1" hidden="1" customWidth="1"/>
    <col min="97" max="97" width="6" style="1" hidden="1" customWidth="1"/>
    <col min="98" max="98" width="8.5703125" style="1" hidden="1" customWidth="1"/>
    <col min="99" max="99" width="2.85546875" style="1" hidden="1" customWidth="1"/>
    <col min="100" max="100" width="6.5703125" style="1" hidden="1" customWidth="1"/>
    <col min="101" max="101" width="2.28515625" style="1" hidden="1" customWidth="1"/>
    <col min="102" max="102" width="12.28515625" style="1" hidden="1" customWidth="1"/>
    <col min="103" max="103" width="10.28515625" style="3" hidden="1" customWidth="1"/>
    <col min="104" max="104" width="2.7109375" style="3" hidden="1" customWidth="1"/>
    <col min="105" max="105" width="0" style="3" hidden="1" customWidth="1"/>
    <col min="106" max="106" width="7" style="3" hidden="1" customWidth="1"/>
    <col min="107" max="107" width="3.28515625" style="3" hidden="1" customWidth="1"/>
    <col min="108" max="108" width="13.7109375" style="3" hidden="1" customWidth="1"/>
    <col min="109" max="111" width="0" style="1" hidden="1" customWidth="1"/>
    <col min="112" max="112" width="12.42578125" style="1" bestFit="1" customWidth="1"/>
    <col min="113" max="114" width="12.140625" style="1" bestFit="1" customWidth="1"/>
    <col min="115" max="115" width="9.140625" style="1"/>
    <col min="116" max="116" width="2.5703125" style="1" customWidth="1"/>
    <col min="117" max="117" width="11.5703125" style="3" hidden="1" customWidth="1"/>
    <col min="118" max="118" width="12.28515625" style="3" hidden="1" customWidth="1"/>
    <col min="119" max="119" width="0" style="1" hidden="1" customWidth="1"/>
    <col min="120" max="120" width="10.7109375" style="3" bestFit="1" customWidth="1"/>
    <col min="121" max="121" width="7.5703125" style="2" customWidth="1"/>
    <col min="122" max="16384" width="9.140625" style="1"/>
  </cols>
  <sheetData>
    <row r="5" spans="1:121" x14ac:dyDescent="0.25">
      <c r="L5" s="8"/>
      <c r="M5" s="8"/>
      <c r="N5" s="8"/>
      <c r="O5" s="8"/>
      <c r="P5" s="8"/>
      <c r="Q5" s="186"/>
      <c r="R5" s="11"/>
      <c r="S5" s="11"/>
      <c r="T5" s="11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3"/>
      <c r="AI5" s="3"/>
      <c r="AJ5" s="3"/>
      <c r="AK5" s="170"/>
      <c r="AL5" s="3"/>
      <c r="AX5" s="2"/>
      <c r="AY5" s="2"/>
      <c r="AZ5" s="4"/>
      <c r="BA5" s="4"/>
      <c r="BB5" s="6"/>
      <c r="BC5" s="5"/>
      <c r="BD5" s="2"/>
      <c r="BE5" s="2"/>
      <c r="BF5" s="2"/>
      <c r="BG5" s="2"/>
      <c r="BH5" s="4"/>
      <c r="BI5" s="2"/>
      <c r="BJ5" s="3"/>
      <c r="BK5" s="3"/>
      <c r="BL5" s="3"/>
      <c r="BM5" s="3"/>
      <c r="BN5" s="3"/>
      <c r="BT5" s="1"/>
      <c r="BU5" s="1"/>
      <c r="BV5" s="1"/>
      <c r="BW5" s="1"/>
    </row>
    <row r="6" spans="1:121" x14ac:dyDescent="0.25">
      <c r="L6" s="8"/>
      <c r="M6" s="8"/>
      <c r="N6" s="8"/>
      <c r="O6" s="8"/>
      <c r="P6" s="8"/>
      <c r="Q6" s="186"/>
      <c r="R6" s="11"/>
      <c r="S6" s="11"/>
      <c r="T6" s="1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3"/>
      <c r="AI6" s="3"/>
      <c r="AJ6" s="3"/>
      <c r="AK6" s="170"/>
      <c r="AL6" s="3"/>
      <c r="AX6" s="2"/>
      <c r="AY6" s="2"/>
      <c r="AZ6" s="4"/>
      <c r="BA6" s="4"/>
      <c r="BB6" s="6"/>
      <c r="BC6" s="5"/>
      <c r="BD6" s="2"/>
      <c r="BE6" s="2"/>
      <c r="BF6" s="2"/>
      <c r="BG6" s="2"/>
      <c r="BH6" s="4"/>
      <c r="BI6" s="2"/>
      <c r="BJ6" s="3"/>
      <c r="BK6" s="3"/>
      <c r="BL6" s="3"/>
      <c r="BM6" s="3"/>
      <c r="BN6" s="3"/>
      <c r="BT6" s="1"/>
      <c r="BU6" s="1"/>
      <c r="BV6" s="1"/>
      <c r="BW6" s="1"/>
    </row>
    <row r="7" spans="1:121" ht="16.5" thickBot="1" x14ac:dyDescent="0.3">
      <c r="Q7" s="186"/>
      <c r="R7" s="11"/>
      <c r="S7" s="11"/>
      <c r="T7" s="172"/>
      <c r="U7" s="11"/>
      <c r="V7" s="9"/>
      <c r="W7" s="11"/>
      <c r="X7" s="11"/>
      <c r="Y7" s="11"/>
      <c r="Z7" s="11"/>
      <c r="AA7" s="171"/>
      <c r="AB7" s="171"/>
      <c r="AC7" s="171"/>
      <c r="AD7" s="11"/>
      <c r="AE7" s="11"/>
      <c r="AF7" s="11"/>
      <c r="AG7" s="9"/>
      <c r="AH7" s="3"/>
      <c r="AI7" s="3"/>
      <c r="AJ7" s="3"/>
      <c r="AK7" s="170"/>
      <c r="AL7" s="3"/>
      <c r="AX7" s="2"/>
      <c r="AY7" s="2"/>
      <c r="AZ7" s="4"/>
      <c r="BA7" s="4"/>
      <c r="BB7" s="6"/>
      <c r="BC7" s="5"/>
      <c r="BD7" s="2"/>
      <c r="BE7" s="2"/>
      <c r="BF7" s="2"/>
      <c r="BG7" s="2"/>
      <c r="BH7" s="4"/>
      <c r="BI7" s="2"/>
      <c r="BJ7" s="3"/>
      <c r="BK7" s="3"/>
      <c r="BL7" s="3"/>
      <c r="BM7" s="3"/>
      <c r="BN7" s="3"/>
      <c r="BT7" s="1"/>
      <c r="BU7" s="1"/>
      <c r="BV7" s="1"/>
    </row>
    <row r="8" spans="1:121" x14ac:dyDescent="0.25">
      <c r="L8" s="168" t="s">
        <v>123</v>
      </c>
      <c r="M8" s="168"/>
      <c r="N8" s="175"/>
      <c r="O8" s="169"/>
      <c r="P8" s="169"/>
      <c r="Q8" s="18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6"/>
      <c r="AH8" s="3"/>
      <c r="AI8" s="3"/>
      <c r="AJ8" s="210" t="s">
        <v>92</v>
      </c>
      <c r="AK8" s="210"/>
      <c r="AL8" s="210"/>
      <c r="AM8" s="210"/>
      <c r="AN8" s="210"/>
      <c r="AO8" s="210"/>
      <c r="AP8" s="210"/>
      <c r="AQ8" s="210"/>
      <c r="AR8" s="166"/>
      <c r="AS8" s="166"/>
      <c r="AT8" s="166"/>
      <c r="AU8" s="166"/>
      <c r="AV8" s="210" t="s">
        <v>91</v>
      </c>
      <c r="AW8" s="210"/>
      <c r="AX8" s="210"/>
      <c r="AY8" s="210"/>
      <c r="AZ8" s="210"/>
      <c r="BA8" s="210"/>
      <c r="BB8" s="210"/>
      <c r="BC8" s="210"/>
      <c r="BG8" s="211" t="s">
        <v>90</v>
      </c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3"/>
    </row>
    <row r="9" spans="1:121" x14ac:dyDescent="0.25">
      <c r="L9" s="165"/>
      <c r="M9" s="164"/>
      <c r="N9" s="164"/>
      <c r="O9" s="163"/>
      <c r="P9" s="163"/>
      <c r="Q9" s="188"/>
      <c r="R9" s="162"/>
      <c r="S9" s="162"/>
      <c r="T9" s="161"/>
      <c r="U9" s="161"/>
      <c r="V9" s="160"/>
      <c r="W9" s="161"/>
      <c r="X9" s="161"/>
      <c r="Y9" s="161"/>
      <c r="Z9" s="161"/>
      <c r="AA9" s="159"/>
      <c r="AB9" s="159"/>
      <c r="AC9" s="159"/>
      <c r="AD9" s="159"/>
      <c r="AE9" s="159"/>
      <c r="AF9" s="159"/>
      <c r="AG9" s="158"/>
      <c r="AH9" s="3"/>
      <c r="AI9" s="3"/>
      <c r="AJ9" s="210"/>
      <c r="AK9" s="210"/>
      <c r="AL9" s="210"/>
      <c r="AM9" s="210"/>
      <c r="AN9" s="210"/>
      <c r="AO9" s="210"/>
      <c r="AP9" s="210"/>
      <c r="AQ9" s="210"/>
      <c r="AR9" s="158"/>
      <c r="AS9" s="158"/>
      <c r="AT9" s="158"/>
      <c r="AU9" s="158"/>
      <c r="AV9" s="210"/>
      <c r="AW9" s="210"/>
      <c r="AX9" s="210"/>
      <c r="AY9" s="210"/>
      <c r="AZ9" s="210"/>
      <c r="BA9" s="210"/>
      <c r="BB9" s="210"/>
      <c r="BC9" s="210"/>
      <c r="BG9" s="211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3"/>
    </row>
    <row r="10" spans="1:121" ht="24.75" customHeight="1" x14ac:dyDescent="0.2">
      <c r="A10" s="47"/>
      <c r="B10" s="47"/>
      <c r="C10" s="47"/>
      <c r="D10" s="47"/>
      <c r="E10" s="47"/>
      <c r="I10" s="27"/>
      <c r="J10" s="1"/>
      <c r="K10" s="1"/>
      <c r="L10" s="21"/>
      <c r="M10" s="192" t="s">
        <v>89</v>
      </c>
      <c r="N10" s="192" t="s">
        <v>89</v>
      </c>
      <c r="O10" s="192" t="s">
        <v>88</v>
      </c>
      <c r="P10" s="192" t="s">
        <v>89</v>
      </c>
      <c r="Q10" s="192" t="s">
        <v>89</v>
      </c>
      <c r="R10" s="192" t="s">
        <v>89</v>
      </c>
      <c r="S10" s="192" t="s">
        <v>89</v>
      </c>
      <c r="T10" s="192" t="s">
        <v>88</v>
      </c>
      <c r="U10" s="192" t="s">
        <v>89</v>
      </c>
      <c r="V10" s="192" t="s">
        <v>89</v>
      </c>
      <c r="W10" s="192" t="s">
        <v>89</v>
      </c>
      <c r="X10" s="192" t="s">
        <v>89</v>
      </c>
      <c r="Y10" s="192" t="s">
        <v>89</v>
      </c>
      <c r="Z10" s="192" t="s">
        <v>88</v>
      </c>
      <c r="AA10" s="192" t="s">
        <v>89</v>
      </c>
      <c r="AB10" s="192" t="s">
        <v>89</v>
      </c>
      <c r="AC10" s="192" t="s">
        <v>88</v>
      </c>
      <c r="AD10" s="192"/>
      <c r="AE10" s="192"/>
      <c r="AF10" s="192"/>
      <c r="AG10" s="157"/>
      <c r="AH10" s="3"/>
      <c r="AI10" s="3"/>
      <c r="AJ10" s="157"/>
      <c r="AK10" s="157"/>
      <c r="AL10" s="157"/>
      <c r="AM10" s="193"/>
      <c r="AN10" s="157"/>
      <c r="AO10" s="157"/>
      <c r="AP10" s="157"/>
      <c r="AQ10" s="157"/>
      <c r="AR10" s="157"/>
      <c r="AS10" s="157"/>
      <c r="AT10" s="157"/>
      <c r="AU10" s="157"/>
      <c r="AV10" s="156"/>
      <c r="AW10" s="155"/>
      <c r="AX10" s="155"/>
      <c r="AY10" s="155"/>
      <c r="AZ10" s="155"/>
      <c r="BA10" s="155"/>
      <c r="BB10" s="155"/>
      <c r="BC10" s="155"/>
      <c r="BG10" s="140"/>
      <c r="BH10" s="201" t="s">
        <v>87</v>
      </c>
      <c r="BI10" s="154"/>
      <c r="BJ10" s="154"/>
      <c r="BK10" s="154"/>
      <c r="BL10" s="154"/>
      <c r="BM10" s="154"/>
      <c r="BN10" s="154"/>
      <c r="BO10" s="154"/>
      <c r="BP10" s="154"/>
      <c r="BQ10" s="153" t="s">
        <v>55</v>
      </c>
      <c r="BR10" s="152"/>
      <c r="BS10" s="151"/>
      <c r="BT10" s="150"/>
      <c r="BU10" s="150"/>
      <c r="BV10" s="149"/>
      <c r="BX10" s="3"/>
      <c r="BY10" s="3"/>
      <c r="BZ10" s="3"/>
      <c r="CA10" s="3"/>
      <c r="CB10" s="3"/>
      <c r="CC10" s="3"/>
      <c r="CD10" s="1"/>
      <c r="CE10" s="1"/>
      <c r="CF10" s="1"/>
      <c r="CG10" s="1"/>
      <c r="CH10" s="1"/>
      <c r="CI10" s="1"/>
      <c r="CJ10" s="1"/>
      <c r="CK10" s="1"/>
      <c r="CL10" s="3"/>
      <c r="CM10" s="3"/>
      <c r="CN10" s="1"/>
      <c r="CP10" s="2"/>
      <c r="CY10" s="1"/>
      <c r="CZ10" s="1"/>
      <c r="DA10" s="1"/>
      <c r="DB10" s="1"/>
      <c r="DC10" s="1"/>
      <c r="DD10" s="1"/>
      <c r="DM10" s="1"/>
      <c r="DN10" s="1"/>
      <c r="DP10" s="1"/>
      <c r="DQ10" s="1"/>
    </row>
    <row r="11" spans="1:121" ht="18" customHeight="1" x14ac:dyDescent="0.25">
      <c r="A11" s="148" t="s">
        <v>86</v>
      </c>
      <c r="B11" s="47"/>
      <c r="C11" s="47"/>
      <c r="D11" s="47"/>
      <c r="E11" s="47"/>
      <c r="I11" s="27"/>
      <c r="J11" s="8"/>
      <c r="K11" s="8"/>
      <c r="L11" s="21"/>
      <c r="M11" s="189" t="s">
        <v>138</v>
      </c>
      <c r="N11" s="189" t="s">
        <v>22</v>
      </c>
      <c r="O11" s="189" t="s">
        <v>125</v>
      </c>
      <c r="P11" s="189" t="s">
        <v>127</v>
      </c>
      <c r="Q11" s="189" t="s">
        <v>104</v>
      </c>
      <c r="R11" s="189" t="s">
        <v>107</v>
      </c>
      <c r="S11" s="189" t="s">
        <v>23</v>
      </c>
      <c r="T11" s="189" t="s">
        <v>103</v>
      </c>
      <c r="U11" s="189" t="s">
        <v>109</v>
      </c>
      <c r="V11" s="189" t="s">
        <v>129</v>
      </c>
      <c r="W11" s="189" t="s">
        <v>24</v>
      </c>
      <c r="X11" s="189" t="s">
        <v>132</v>
      </c>
      <c r="Y11" s="189" t="s">
        <v>134</v>
      </c>
      <c r="Z11" s="189" t="s">
        <v>111</v>
      </c>
      <c r="AA11" s="189" t="s">
        <v>112</v>
      </c>
      <c r="AB11" s="189" t="s">
        <v>113</v>
      </c>
      <c r="AC11" s="189" t="s">
        <v>85</v>
      </c>
      <c r="AD11" s="189" t="s">
        <v>136</v>
      </c>
      <c r="AE11" s="189" t="s">
        <v>145</v>
      </c>
      <c r="AF11" s="189" t="s">
        <v>148</v>
      </c>
      <c r="AG11" s="144" t="s">
        <v>55</v>
      </c>
      <c r="AH11" s="3"/>
      <c r="AI11" s="3"/>
      <c r="AJ11" s="144"/>
      <c r="AK11" s="198" t="s">
        <v>116</v>
      </c>
      <c r="AL11" s="198" t="s">
        <v>117</v>
      </c>
      <c r="AM11" s="200" t="s">
        <v>118</v>
      </c>
      <c r="AN11" s="144" t="s">
        <v>84</v>
      </c>
      <c r="AO11" s="198" t="s">
        <v>119</v>
      </c>
      <c r="AP11" s="198" t="s">
        <v>120</v>
      </c>
      <c r="AQ11" s="198" t="s">
        <v>121</v>
      </c>
      <c r="AR11" s="198" t="s">
        <v>122</v>
      </c>
      <c r="AS11" s="144"/>
      <c r="AT11" s="144"/>
      <c r="AU11" s="144"/>
      <c r="AV11" s="197" t="s">
        <v>116</v>
      </c>
      <c r="AW11" s="189" t="s">
        <v>117</v>
      </c>
      <c r="AX11" s="189" t="s">
        <v>118</v>
      </c>
      <c r="AY11" s="189" t="s">
        <v>119</v>
      </c>
      <c r="AZ11" s="189" t="s">
        <v>120</v>
      </c>
      <c r="BA11" s="196" t="s">
        <v>121</v>
      </c>
      <c r="BB11" s="196" t="s">
        <v>122</v>
      </c>
      <c r="BC11" s="141" t="s">
        <v>44</v>
      </c>
      <c r="BG11" s="140"/>
      <c r="BH11" s="201" t="s">
        <v>47</v>
      </c>
      <c r="BI11" s="201" t="s">
        <v>83</v>
      </c>
      <c r="BJ11" s="201" t="s">
        <v>48</v>
      </c>
      <c r="BK11" s="201" t="s">
        <v>94</v>
      </c>
      <c r="BL11" s="201" t="s">
        <v>95</v>
      </c>
      <c r="BM11" s="201" t="s">
        <v>95</v>
      </c>
      <c r="BN11" s="201" t="s">
        <v>95</v>
      </c>
      <c r="BO11" s="201" t="s">
        <v>49</v>
      </c>
      <c r="BP11" s="201"/>
      <c r="BQ11" s="138" t="s">
        <v>82</v>
      </c>
      <c r="BR11" s="146"/>
      <c r="BS11" s="139"/>
      <c r="BT11" s="135"/>
      <c r="BU11" s="135" t="s">
        <v>81</v>
      </c>
      <c r="BV11" s="145"/>
      <c r="BW11" s="106"/>
      <c r="BX11" s="3"/>
      <c r="BY11" s="3"/>
      <c r="BZ11" s="3"/>
      <c r="CA11" s="3"/>
      <c r="CB11" s="3"/>
      <c r="CC11" s="3"/>
      <c r="CD11" s="1"/>
      <c r="CE11" s="1"/>
      <c r="CF11" s="1"/>
      <c r="CG11" s="1"/>
      <c r="CH11" s="1"/>
      <c r="CI11" s="1"/>
      <c r="CJ11" s="1"/>
      <c r="CK11" s="1"/>
      <c r="CL11" s="3"/>
      <c r="CM11" s="3"/>
      <c r="CN11" s="1"/>
      <c r="CP11" s="2"/>
      <c r="CY11" s="1"/>
      <c r="CZ11" s="1"/>
      <c r="DA11" s="1"/>
      <c r="DB11" s="1"/>
      <c r="DC11" s="1"/>
      <c r="DD11" s="1"/>
      <c r="DM11" s="1"/>
      <c r="DN11" s="1"/>
      <c r="DP11" s="1"/>
      <c r="DQ11" s="1"/>
    </row>
    <row r="12" spans="1:121" ht="16.5" thickBot="1" x14ac:dyDescent="0.3">
      <c r="A12" s="47"/>
      <c r="B12" s="47"/>
      <c r="C12" s="47"/>
      <c r="D12" s="47"/>
      <c r="E12" s="47"/>
      <c r="I12" s="27"/>
      <c r="J12" s="8"/>
      <c r="K12" s="8"/>
      <c r="L12" s="21"/>
      <c r="M12" s="189" t="s">
        <v>139</v>
      </c>
      <c r="N12" s="189"/>
      <c r="O12" s="189" t="s">
        <v>126</v>
      </c>
      <c r="P12" s="189" t="s">
        <v>128</v>
      </c>
      <c r="Q12" s="189" t="s">
        <v>105</v>
      </c>
      <c r="R12" s="189" t="s">
        <v>141</v>
      </c>
      <c r="S12" s="189" t="s">
        <v>79</v>
      </c>
      <c r="T12" s="189" t="s">
        <v>78</v>
      </c>
      <c r="U12" s="189" t="s">
        <v>77</v>
      </c>
      <c r="V12" s="189" t="s">
        <v>130</v>
      </c>
      <c r="W12" s="189" t="s">
        <v>75</v>
      </c>
      <c r="X12" s="189" t="s">
        <v>110</v>
      </c>
      <c r="Y12" s="189" t="s">
        <v>135</v>
      </c>
      <c r="Z12" s="189" t="s">
        <v>74</v>
      </c>
      <c r="AA12" s="189" t="s">
        <v>73</v>
      </c>
      <c r="AB12" s="189" t="s">
        <v>73</v>
      </c>
      <c r="AC12" s="189" t="s">
        <v>143</v>
      </c>
      <c r="AD12" s="189" t="s">
        <v>137</v>
      </c>
      <c r="AE12" s="189" t="s">
        <v>146</v>
      </c>
      <c r="AF12" s="189" t="s">
        <v>115</v>
      </c>
      <c r="AG12" s="144"/>
      <c r="AH12" s="3"/>
      <c r="AI12" s="3"/>
      <c r="AJ12" s="144"/>
      <c r="AK12" s="144"/>
      <c r="AL12" s="198" t="s">
        <v>38</v>
      </c>
      <c r="AM12" s="200" t="s">
        <v>39</v>
      </c>
      <c r="AN12" s="144" t="s">
        <v>72</v>
      </c>
      <c r="AO12" s="198" t="s">
        <v>40</v>
      </c>
      <c r="AP12" s="198" t="s">
        <v>41</v>
      </c>
      <c r="AQ12" s="198" t="s">
        <v>42</v>
      </c>
      <c r="AR12" s="198" t="s">
        <v>43</v>
      </c>
      <c r="AS12" s="144"/>
      <c r="AT12" s="144"/>
      <c r="AU12" s="144"/>
      <c r="AV12" s="142"/>
      <c r="AW12" s="195" t="s">
        <v>38</v>
      </c>
      <c r="AX12" s="195" t="s">
        <v>39</v>
      </c>
      <c r="AY12" s="195" t="s">
        <v>40</v>
      </c>
      <c r="AZ12" s="195" t="s">
        <v>45</v>
      </c>
      <c r="BA12" s="195" t="s">
        <v>42</v>
      </c>
      <c r="BB12" s="195" t="s">
        <v>43</v>
      </c>
      <c r="BC12" s="141" t="s">
        <v>46</v>
      </c>
      <c r="BG12" s="140"/>
      <c r="BH12" s="201" t="s">
        <v>50</v>
      </c>
      <c r="BI12" s="201" t="s">
        <v>71</v>
      </c>
      <c r="BJ12" s="201" t="s">
        <v>51</v>
      </c>
      <c r="BK12" s="201" t="s">
        <v>51</v>
      </c>
      <c r="BL12" s="201" t="s">
        <v>96</v>
      </c>
      <c r="BM12" s="201" t="s">
        <v>100</v>
      </c>
      <c r="BN12" s="201" t="s">
        <v>97</v>
      </c>
      <c r="BO12" s="201" t="s">
        <v>52</v>
      </c>
      <c r="BP12" s="201"/>
      <c r="BQ12" s="138">
        <v>2019</v>
      </c>
      <c r="BR12" s="137"/>
      <c r="BS12" s="136"/>
      <c r="BT12" s="135"/>
      <c r="BU12" s="134">
        <v>0.03</v>
      </c>
      <c r="BV12" s="133"/>
      <c r="BW12" s="92"/>
    </row>
    <row r="13" spans="1:121" x14ac:dyDescent="0.25">
      <c r="A13" s="132" t="s">
        <v>124</v>
      </c>
      <c r="B13" s="130"/>
      <c r="C13" s="131">
        <v>3172290</v>
      </c>
      <c r="D13" s="130"/>
      <c r="E13" s="129"/>
      <c r="I13" s="27"/>
      <c r="L13" s="126"/>
      <c r="M13" s="127"/>
      <c r="N13" s="127"/>
      <c r="O13" s="190" t="s">
        <v>80</v>
      </c>
      <c r="P13" s="190">
        <v>2007</v>
      </c>
      <c r="Q13" s="190" t="s">
        <v>102</v>
      </c>
      <c r="R13" s="185" t="s">
        <v>142</v>
      </c>
      <c r="S13" s="209">
        <v>2010</v>
      </c>
      <c r="T13" s="190" t="s">
        <v>108</v>
      </c>
      <c r="U13" s="190"/>
      <c r="V13" s="190" t="s">
        <v>76</v>
      </c>
      <c r="W13" s="190">
        <v>2012</v>
      </c>
      <c r="X13" s="190" t="s">
        <v>133</v>
      </c>
      <c r="Y13" s="190" t="s">
        <v>131</v>
      </c>
      <c r="Z13" s="190"/>
      <c r="AA13" s="190"/>
      <c r="AB13" s="190"/>
      <c r="AC13" s="126"/>
      <c r="AD13" s="190" t="s">
        <v>144</v>
      </c>
      <c r="AE13" s="189" t="s">
        <v>101</v>
      </c>
      <c r="AF13" s="190" t="s">
        <v>114</v>
      </c>
      <c r="AG13" s="128"/>
      <c r="AH13" s="3"/>
      <c r="AI13" s="3"/>
      <c r="AJ13" s="128"/>
      <c r="AK13" s="128"/>
      <c r="AL13" s="199"/>
      <c r="AM13" s="194"/>
      <c r="AN13" s="128"/>
      <c r="AO13" s="128"/>
      <c r="AP13" s="128"/>
      <c r="AQ13" s="128"/>
      <c r="AR13" s="199"/>
      <c r="AS13" s="128"/>
      <c r="AT13" s="128"/>
      <c r="AU13" s="128"/>
      <c r="AV13" s="125"/>
      <c r="AW13" s="124"/>
      <c r="AX13" s="123"/>
      <c r="AY13" s="123"/>
      <c r="AZ13" s="123"/>
      <c r="BA13" s="123"/>
      <c r="BB13" s="123"/>
      <c r="BC13" s="122"/>
      <c r="BG13" s="121"/>
      <c r="BH13" s="202"/>
      <c r="BI13" s="202"/>
      <c r="BJ13" s="202"/>
      <c r="BK13" s="202"/>
      <c r="BL13" s="202"/>
      <c r="BM13" s="202"/>
      <c r="BN13" s="202"/>
      <c r="BO13" s="202"/>
      <c r="BP13" s="202"/>
      <c r="BQ13" s="120"/>
      <c r="BR13" s="119"/>
      <c r="BS13" s="118"/>
      <c r="BT13" s="117"/>
      <c r="BU13" s="116"/>
      <c r="BV13" s="115"/>
      <c r="BW13" s="92"/>
      <c r="CM13" s="34"/>
      <c r="CN13" s="105"/>
      <c r="CO13" s="38"/>
      <c r="CP13" s="103"/>
      <c r="CQ13" s="48"/>
    </row>
    <row r="14" spans="1:121" x14ac:dyDescent="0.25">
      <c r="A14" s="114"/>
      <c r="B14" s="113"/>
      <c r="C14" s="113"/>
      <c r="D14" s="113"/>
      <c r="E14" s="112"/>
      <c r="I14" s="27"/>
      <c r="L14" s="13" t="s">
        <v>1</v>
      </c>
      <c r="M14" s="68"/>
      <c r="N14" s="4"/>
      <c r="O14" s="4"/>
      <c r="P14" s="68"/>
      <c r="Q14" s="68"/>
      <c r="R14" s="68">
        <v>6586</v>
      </c>
      <c r="S14" s="68"/>
      <c r="T14" s="68"/>
      <c r="U14" s="4"/>
      <c r="V14" s="68">
        <f>1200*1.0057*1.0276*1.0091*1.0182*1.0155*1.0184*1.0123*1.0203</f>
        <v>1361.0576864480752</v>
      </c>
      <c r="W14" s="4">
        <f>840*1.0276*1.0091*1.0182*1.0155*1.0184*1.0123*1.0203</f>
        <v>947.3405394388509</v>
      </c>
      <c r="X14" s="4"/>
      <c r="Y14" s="176">
        <f>1700*1.0091*1.0182*1.0155*1.0184*1.0123*1.0203</f>
        <v>1865.7423180295821</v>
      </c>
      <c r="Z14" s="4">
        <v>1801.6666666666667</v>
      </c>
      <c r="AA14" s="68">
        <f>2400*1.0123*1.0203</f>
        <v>2478.8392559999998</v>
      </c>
      <c r="AB14" s="68"/>
      <c r="AC14" s="68">
        <v>3000</v>
      </c>
      <c r="AD14" s="177">
        <v>1583.6764705882354</v>
      </c>
      <c r="AE14" s="3">
        <v>250</v>
      </c>
      <c r="AF14" s="177">
        <v>-607.49588643113384</v>
      </c>
      <c r="AG14" s="67">
        <f t="shared" ref="AG14:AG35" si="0">SUM(L14:AF14)</f>
        <v>19266.827050740274</v>
      </c>
      <c r="AH14" s="3"/>
      <c r="AI14" s="3"/>
      <c r="AJ14" s="13" t="s">
        <v>1</v>
      </c>
      <c r="AK14" s="65">
        <v>0.2291379872407</v>
      </c>
      <c r="AL14" s="65">
        <v>1.6345688618650489E-2</v>
      </c>
      <c r="AM14" s="65">
        <v>8.9655172413793102E-2</v>
      </c>
      <c r="AN14" s="66">
        <v>4.8595550095447332E-2</v>
      </c>
      <c r="AO14" s="65">
        <v>7.4146658040739749E-3</v>
      </c>
      <c r="AP14" s="65">
        <v>5.8097957770918467E-2</v>
      </c>
      <c r="AQ14" s="65">
        <v>2.47E-2</v>
      </c>
      <c r="AR14" s="65">
        <v>7.2066666666666668E-2</v>
      </c>
      <c r="AS14" s="64"/>
      <c r="AT14" s="64"/>
      <c r="AU14" s="64"/>
      <c r="AV14" s="61">
        <f t="shared" ref="AV14:AV25" si="1">SUM(AK14*$AO$39)</f>
        <v>270332.64959400677</v>
      </c>
      <c r="AW14" s="61">
        <f t="shared" ref="AW14:AW25" si="2">SUM(AL14*$AO$41)</f>
        <v>2850.7275287738389</v>
      </c>
      <c r="AX14" s="61">
        <f t="shared" ref="AX14:AX25" si="3">SUM(AM14*$AO$42)</f>
        <v>11957.001099178413</v>
      </c>
      <c r="AY14" s="61">
        <f t="shared" ref="AY14:AY25" si="4">SUM(AO14*$AO$44)</f>
        <v>684.60120210654304</v>
      </c>
      <c r="AZ14" s="61">
        <f t="shared" ref="AZ14:AZ25" si="5">SUM(AP14*$AO$45)</f>
        <v>15496.648463753769</v>
      </c>
      <c r="BA14" s="61">
        <f t="shared" ref="BA14:BA25" si="6">SUM(AQ14*$AO$46)</f>
        <v>4054.343141936803</v>
      </c>
      <c r="BB14" s="61">
        <f t="shared" ref="BB14:BB25" si="7">SUM(AR14*$AO$47)</f>
        <v>2957.3177708729313</v>
      </c>
      <c r="BC14" s="12">
        <f t="shared" ref="BC14:BC34" si="8">SUM(AV14:BB14)</f>
        <v>308333.28880062903</v>
      </c>
      <c r="BG14" s="72" t="s">
        <v>1</v>
      </c>
      <c r="BH14" s="70">
        <f t="shared" ref="BH14:BH34" si="9">SUM(AG14)</f>
        <v>19266.827050740274</v>
      </c>
      <c r="BI14" s="70"/>
      <c r="BJ14" s="70">
        <f t="shared" ref="BJ14:BJ25" si="10">$B$36</f>
        <v>38669.370000000003</v>
      </c>
      <c r="BK14" s="70"/>
      <c r="BL14" s="68">
        <f>872*1.0276*1.0091*1.0182*1.0155*1.0184*1.0123*1.0203</f>
        <v>983.42970284604542</v>
      </c>
      <c r="BM14" s="68">
        <f>1616*1.006*1.0089*1.0057*1.0276*1.0091*1.0182*1.0155*1.0184*1.0123*1.0203</f>
        <v>1860.298970294898</v>
      </c>
      <c r="BN14" s="68">
        <f>1999*1.0276*1.0091*1.0182*1.0155*1.0184*1.0123*1.0203</f>
        <v>2254.4449265931698</v>
      </c>
      <c r="BO14" s="70">
        <f t="shared" ref="BO14:BO34" si="11">BC14</f>
        <v>308333.28880062903</v>
      </c>
      <c r="BP14" s="70"/>
      <c r="BQ14" s="63">
        <f t="shared" ref="BQ14:BQ34" si="12">SUM(BH14:BO14)</f>
        <v>371367.65945110342</v>
      </c>
      <c r="BR14" s="62">
        <f t="shared" ref="BR14:BR25" si="13">BQ14/$BQ$35</f>
        <v>0.11710258419132062</v>
      </c>
      <c r="BS14" s="71"/>
      <c r="BT14" s="70"/>
      <c r="BU14" s="70">
        <v>10406.280810717015</v>
      </c>
      <c r="BV14" s="69"/>
      <c r="BW14" s="41"/>
      <c r="CM14" s="34" t="s">
        <v>70</v>
      </c>
      <c r="CN14" s="105"/>
      <c r="CO14" s="38"/>
      <c r="CP14" s="103"/>
      <c r="CQ14" s="48"/>
      <c r="DM14" s="19"/>
    </row>
    <row r="15" spans="1:121" x14ac:dyDescent="0.25">
      <c r="A15" s="82" t="s">
        <v>69</v>
      </c>
      <c r="B15" s="47"/>
      <c r="C15" s="47">
        <v>-988</v>
      </c>
      <c r="D15" s="47"/>
      <c r="E15" s="111"/>
      <c r="I15" s="27"/>
      <c r="L15" s="13" t="s">
        <v>2</v>
      </c>
      <c r="M15" s="68"/>
      <c r="N15" s="4"/>
      <c r="O15" s="4"/>
      <c r="P15" s="68">
        <f>806.108818303748*1.0362*1.006*1.0089*1.0057*1.0276*1.0091*1.0182*1.0155*1.0184*1.0123*1.0203</f>
        <v>961.56500487866731</v>
      </c>
      <c r="Q15" s="68"/>
      <c r="R15" s="68"/>
      <c r="S15" s="68"/>
      <c r="T15" s="68"/>
      <c r="U15" s="4"/>
      <c r="V15" s="68"/>
      <c r="W15" s="4">
        <f>840*1.0276*1.0091*1.0182*1.0155*1.0184*1.0123*1.0203</f>
        <v>947.3405394388509</v>
      </c>
      <c r="X15" s="4"/>
      <c r="Y15" s="176"/>
      <c r="Z15" s="4">
        <v>919.16666666666674</v>
      </c>
      <c r="AA15" s="68">
        <f t="shared" ref="AA15:AA22" si="14">1600*1.0123*1.0203</f>
        <v>1652.5595040000001</v>
      </c>
      <c r="AB15" s="68"/>
      <c r="AC15" s="68"/>
      <c r="AD15" s="3">
        <v>2337.5</v>
      </c>
      <c r="AE15" s="177">
        <v>560</v>
      </c>
      <c r="AF15" s="177">
        <v>92.358242303169391</v>
      </c>
      <c r="AG15" s="67">
        <f t="shared" si="0"/>
        <v>7470.4899572873546</v>
      </c>
      <c r="AH15" s="3"/>
      <c r="AI15" s="3"/>
      <c r="AJ15" s="13" t="s">
        <v>2</v>
      </c>
      <c r="AK15" s="65">
        <v>3.6788582024665242E-2</v>
      </c>
      <c r="AL15" s="65">
        <v>1.9138455203796999E-2</v>
      </c>
      <c r="AM15" s="65">
        <v>2.7586206896551724E-2</v>
      </c>
      <c r="AN15" s="66">
        <v>1.9131968855911435E-2</v>
      </c>
      <c r="AO15" s="65">
        <v>1.0245958344462859E-2</v>
      </c>
      <c r="AP15" s="65">
        <v>2.3632377651797827E-2</v>
      </c>
      <c r="AQ15" s="65">
        <v>3.6900000000000002E-2</v>
      </c>
      <c r="AR15" s="65">
        <v>3.676666666666667E-2</v>
      </c>
      <c r="AS15" s="64"/>
      <c r="AT15" s="64"/>
      <c r="AU15" s="64"/>
      <c r="AV15" s="61">
        <f t="shared" si="1"/>
        <v>43402.471031951725</v>
      </c>
      <c r="AW15" s="61">
        <f t="shared" si="2"/>
        <v>3337.7927587227841</v>
      </c>
      <c r="AX15" s="61">
        <f t="shared" si="3"/>
        <v>3679.0772612856654</v>
      </c>
      <c r="AY15" s="61">
        <f t="shared" si="4"/>
        <v>946.01639301110401</v>
      </c>
      <c r="AZ15" s="61">
        <f t="shared" si="5"/>
        <v>6303.5373855412563</v>
      </c>
      <c r="BA15" s="61">
        <f t="shared" si="6"/>
        <v>6056.8931958489084</v>
      </c>
      <c r="BB15" s="61">
        <f t="shared" si="7"/>
        <v>1508.7518507274947</v>
      </c>
      <c r="BC15" s="12">
        <f t="shared" si="8"/>
        <v>65234.53987708893</v>
      </c>
      <c r="BG15" s="72" t="s">
        <v>2</v>
      </c>
      <c r="BH15" s="70">
        <f t="shared" si="9"/>
        <v>7470.4899572873546</v>
      </c>
      <c r="BI15" s="70"/>
      <c r="BJ15" s="70">
        <f t="shared" si="10"/>
        <v>38669.370000000003</v>
      </c>
      <c r="BK15" s="70"/>
      <c r="BL15" s="68">
        <f>3110*1.0276*1.0091*1.0182*1.0155*1.0184*1.0123*1.0203</f>
        <v>3507.415568636698</v>
      </c>
      <c r="BM15" s="68">
        <f>-389*1.006*1.0089*1.0057*1.0276*1.0091*1.0182*1.0155*1.0184*1.0123*1.0203</f>
        <v>-447.80711599301691</v>
      </c>
      <c r="BN15" s="68">
        <f>-450*1.0276*1.0091*1.0182*1.0155*1.0184*1.0123*1.0203</f>
        <v>-507.50386041367011</v>
      </c>
      <c r="BO15" s="70">
        <f t="shared" si="11"/>
        <v>65234.53987708893</v>
      </c>
      <c r="BP15" s="70"/>
      <c r="BQ15" s="63">
        <f t="shared" si="12"/>
        <v>113926.50442660629</v>
      </c>
      <c r="BR15" s="62">
        <f t="shared" si="13"/>
        <v>3.5924205397848047E-2</v>
      </c>
      <c r="BS15" s="71"/>
      <c r="BT15" s="70"/>
      <c r="BU15" s="70">
        <v>3225.5364663830701</v>
      </c>
      <c r="BV15" s="69"/>
      <c r="BW15" s="41"/>
      <c r="CM15" s="34"/>
      <c r="CN15" s="105"/>
      <c r="CO15" s="38"/>
      <c r="CP15" s="103"/>
      <c r="CQ15" s="48"/>
      <c r="DM15" s="19"/>
    </row>
    <row r="16" spans="1:121" x14ac:dyDescent="0.25">
      <c r="A16" s="82" t="s">
        <v>149</v>
      </c>
      <c r="B16" s="47"/>
      <c r="C16" s="47">
        <v>0</v>
      </c>
      <c r="D16" s="47"/>
      <c r="E16" s="111"/>
      <c r="I16" s="27"/>
      <c r="J16" s="110"/>
      <c r="K16" s="110"/>
      <c r="L16" s="13" t="s">
        <v>3</v>
      </c>
      <c r="M16" s="68"/>
      <c r="N16" s="4"/>
      <c r="O16" s="4"/>
      <c r="P16" s="68"/>
      <c r="Q16" s="68"/>
      <c r="R16" s="68"/>
      <c r="S16" s="68"/>
      <c r="T16" s="68"/>
      <c r="U16" s="4"/>
      <c r="V16" s="68"/>
      <c r="W16" s="4">
        <f>840*1.0276*1.0091*1.0182*1.0155*1.0184*1.0123*1.0203</f>
        <v>947.3405394388509</v>
      </c>
      <c r="X16" s="4"/>
      <c r="Y16" s="176"/>
      <c r="Z16" s="4">
        <v>720.00000000000011</v>
      </c>
      <c r="AA16" s="68">
        <f t="shared" si="14"/>
        <v>1652.5595040000001</v>
      </c>
      <c r="AB16" s="68"/>
      <c r="AC16" s="68"/>
      <c r="AD16" s="177">
        <v>1798.8235294117646</v>
      </c>
      <c r="AE16" s="177">
        <v>310</v>
      </c>
      <c r="AF16" s="177">
        <v>86.460971732929465</v>
      </c>
      <c r="AG16" s="67">
        <f t="shared" si="0"/>
        <v>5515.1845445835452</v>
      </c>
      <c r="AH16" s="3"/>
      <c r="AI16" s="3"/>
      <c r="AJ16" s="13" t="s">
        <v>3</v>
      </c>
      <c r="AK16" s="65">
        <v>2.8806419434252654E-2</v>
      </c>
      <c r="AL16" s="65">
        <v>1.5728989792262355E-2</v>
      </c>
      <c r="AM16" s="65">
        <v>3.1034482758620689E-2</v>
      </c>
      <c r="AN16" s="66">
        <v>2.4052688932675932E-2</v>
      </c>
      <c r="AO16" s="65">
        <v>1.6939693177604478E-2</v>
      </c>
      <c r="AP16" s="65">
        <v>2.8039523979607982E-2</v>
      </c>
      <c r="AQ16" s="65">
        <v>2.8400000000000002E-2</v>
      </c>
      <c r="AR16" s="65">
        <v>2.8800000000000003E-2</v>
      </c>
      <c r="AS16" s="64"/>
      <c r="AT16" s="64"/>
      <c r="AU16" s="64"/>
      <c r="AV16" s="61">
        <f t="shared" si="1"/>
        <v>33985.26706441545</v>
      </c>
      <c r="AW16" s="61">
        <f t="shared" si="2"/>
        <v>2743.1737656768687</v>
      </c>
      <c r="AX16" s="61">
        <f t="shared" si="3"/>
        <v>4138.9619189463738</v>
      </c>
      <c r="AY16" s="61">
        <f t="shared" si="4"/>
        <v>1564.0535418780596</v>
      </c>
      <c r="AZ16" s="61">
        <f t="shared" si="5"/>
        <v>7479.0691940721154</v>
      </c>
      <c r="BA16" s="61">
        <f t="shared" si="6"/>
        <v>4661.673895992114</v>
      </c>
      <c r="BB16" s="61">
        <f t="shared" si="7"/>
        <v>1181.8328187022262</v>
      </c>
      <c r="BC16" s="12">
        <f t="shared" si="8"/>
        <v>55754.032199683206</v>
      </c>
      <c r="BG16" s="72" t="s">
        <v>3</v>
      </c>
      <c r="BH16" s="70">
        <f t="shared" si="9"/>
        <v>5515.1845445835452</v>
      </c>
      <c r="BI16" s="70"/>
      <c r="BJ16" s="70">
        <f t="shared" si="10"/>
        <v>38669.370000000003</v>
      </c>
      <c r="BK16" s="70"/>
      <c r="BL16" s="68">
        <f>-1862*1.0276*1.0091*1.0182*1.0155*1.0184*1.0123*1.0203</f>
        <v>-2099.9381957561191</v>
      </c>
      <c r="BM16" s="68">
        <f>-275*1.006*1.0089*1.0057*1.0276*1.0091*1.0182*1.0155*1.0184*1.0123*1.0203</f>
        <v>-316.57315397963924</v>
      </c>
      <c r="BN16" s="68">
        <f>-815*1.0276*1.0091*1.0182*1.0155*1.0184*1.0123*1.0203</f>
        <v>-919.14588052698048</v>
      </c>
      <c r="BO16" s="70">
        <f t="shared" si="11"/>
        <v>55754.032199683206</v>
      </c>
      <c r="BP16" s="70"/>
      <c r="BQ16" s="63">
        <f t="shared" si="12"/>
        <v>96602.929514004005</v>
      </c>
      <c r="BR16" s="62">
        <f t="shared" si="13"/>
        <v>3.0461598899759159E-2</v>
      </c>
      <c r="BS16" s="71"/>
      <c r="BT16" s="70"/>
      <c r="BU16" s="70">
        <v>2772.2140351126427</v>
      </c>
      <c r="BV16" s="69"/>
      <c r="BW16" s="41"/>
      <c r="CD16" s="18"/>
      <c r="CE16" s="18"/>
      <c r="CF16" s="18"/>
      <c r="CG16" s="18"/>
      <c r="CH16" s="18"/>
      <c r="CJ16" s="18"/>
      <c r="CK16" s="18"/>
      <c r="CM16" s="34"/>
      <c r="CN16" s="105"/>
      <c r="CO16" s="38"/>
      <c r="CP16" s="103"/>
      <c r="CQ16" s="48"/>
      <c r="DH16" s="109"/>
      <c r="DI16" s="18"/>
      <c r="DJ16" s="17"/>
      <c r="DK16" s="16"/>
      <c r="DM16" s="19"/>
      <c r="DN16" s="19"/>
      <c r="DO16" s="19"/>
      <c r="DP16" s="108"/>
    </row>
    <row r="17" spans="1:122" x14ac:dyDescent="0.25">
      <c r="A17" s="82" t="s">
        <v>68</v>
      </c>
      <c r="B17" s="73"/>
      <c r="C17" s="5">
        <f>SUM(C13:C16)</f>
        <v>3171302</v>
      </c>
      <c r="D17" s="73" t="s">
        <v>67</v>
      </c>
      <c r="E17" s="79"/>
      <c r="F17" s="107"/>
      <c r="I17" s="27"/>
      <c r="L17" s="13" t="s">
        <v>4</v>
      </c>
      <c r="M17" s="68"/>
      <c r="N17" s="4"/>
      <c r="O17" s="4"/>
      <c r="P17" s="68"/>
      <c r="Q17" s="68"/>
      <c r="R17" s="68"/>
      <c r="S17" s="68"/>
      <c r="T17" s="68"/>
      <c r="U17" s="4"/>
      <c r="V17" s="68"/>
      <c r="W17" s="4">
        <f>840*1.0276*1.0091*1.0182*1.0155*1.0184*1.0123*1.0203</f>
        <v>947.3405394388509</v>
      </c>
      <c r="X17" s="4"/>
      <c r="Y17" s="176"/>
      <c r="Z17" s="4">
        <v>1162.5000000000002</v>
      </c>
      <c r="AA17" s="68">
        <f t="shared" si="14"/>
        <v>1652.5595040000001</v>
      </c>
      <c r="AB17" s="68"/>
      <c r="AC17" s="68"/>
      <c r="AD17" s="177">
        <v>3817.6470588235293</v>
      </c>
      <c r="AE17" s="177">
        <v>680</v>
      </c>
      <c r="AF17" s="177">
        <v>-64.102521100619924</v>
      </c>
      <c r="AG17" s="67">
        <f t="shared" si="0"/>
        <v>8195.9445811617607</v>
      </c>
      <c r="AH17" s="3"/>
      <c r="AI17" s="3"/>
      <c r="AJ17" s="13" t="s">
        <v>4</v>
      </c>
      <c r="AK17" s="65">
        <v>4.5119711911368168E-2</v>
      </c>
      <c r="AL17" s="65">
        <v>2.7386508308964917E-2</v>
      </c>
      <c r="AM17" s="65">
        <v>4.4827586206896551E-2</v>
      </c>
      <c r="AN17" s="66">
        <v>3.0626396143953967E-2</v>
      </c>
      <c r="AO17" s="65">
        <v>2.0059358106366304E-2</v>
      </c>
      <c r="AP17" s="65">
        <v>6.0320161760689037E-2</v>
      </c>
      <c r="AQ17" s="65">
        <v>5.6599999999999998E-2</v>
      </c>
      <c r="AR17" s="65">
        <v>4.6500000000000007E-2</v>
      </c>
      <c r="AS17" s="64"/>
      <c r="AT17" s="64"/>
      <c r="AU17" s="64"/>
      <c r="AV17" s="61">
        <f t="shared" si="1"/>
        <v>53231.379994211224</v>
      </c>
      <c r="AW17" s="61">
        <f t="shared" si="2"/>
        <v>4776.27311854454</v>
      </c>
      <c r="AX17" s="61">
        <f t="shared" si="3"/>
        <v>5978.5005495892065</v>
      </c>
      <c r="AY17" s="61">
        <f t="shared" si="4"/>
        <v>1852.0943540784556</v>
      </c>
      <c r="AZ17" s="61">
        <f t="shared" si="5"/>
        <v>16089.383825984749</v>
      </c>
      <c r="BA17" s="61">
        <f t="shared" si="6"/>
        <v>9290.5191025758322</v>
      </c>
      <c r="BB17" s="61">
        <f t="shared" si="7"/>
        <v>1908.1675718629692</v>
      </c>
      <c r="BC17" s="12">
        <f t="shared" si="8"/>
        <v>93126.318516846964</v>
      </c>
      <c r="BG17" s="72" t="s">
        <v>4</v>
      </c>
      <c r="BH17" s="70">
        <f t="shared" si="9"/>
        <v>8195.9445811617607</v>
      </c>
      <c r="BI17" s="70"/>
      <c r="BJ17" s="70">
        <f t="shared" si="10"/>
        <v>38669.370000000003</v>
      </c>
      <c r="BK17" s="70"/>
      <c r="BL17" s="68">
        <f>1143*1.0276*1.0091*1.0182*1.0155*1.0184*1.0123*1.0203</f>
        <v>1289.0598054507223</v>
      </c>
      <c r="BM17" s="68">
        <f>577*1.006*1.0089*1.0057*1.0276*1.0091*1.0182*1.0155*1.0184*1.0123*1.0203</f>
        <v>664.22803580455206</v>
      </c>
      <c r="BN17" s="68">
        <f>1374*1.0276*1.0091*1.0182*1.0155*1.0184*1.0123*1.0203</f>
        <v>1549.5784537964066</v>
      </c>
      <c r="BO17" s="70">
        <f t="shared" si="11"/>
        <v>93126.318516846964</v>
      </c>
      <c r="BP17" s="70"/>
      <c r="BQ17" s="63">
        <f t="shared" si="12"/>
        <v>143494.4993930604</v>
      </c>
      <c r="BR17" s="62">
        <f t="shared" si="13"/>
        <v>4.5247819158522405E-2</v>
      </c>
      <c r="BS17" s="71"/>
      <c r="BT17" s="70"/>
      <c r="BU17" s="70">
        <v>4027.7283509700583</v>
      </c>
      <c r="BV17" s="69"/>
      <c r="BW17" s="41"/>
      <c r="BX17" s="106"/>
      <c r="CD17" s="85"/>
      <c r="CE17" s="92"/>
      <c r="CF17" s="92"/>
      <c r="CG17" s="92"/>
      <c r="CH17" s="4"/>
      <c r="CI17" s="106"/>
      <c r="CJ17" s="102"/>
      <c r="CK17" s="102"/>
      <c r="CM17" s="34"/>
      <c r="CN17" s="105"/>
      <c r="CO17" s="104"/>
      <c r="CP17" s="103"/>
      <c r="CQ17" s="48"/>
      <c r="DI17" s="18"/>
      <c r="DJ17" s="102"/>
      <c r="DK17" s="16"/>
      <c r="DM17" s="19"/>
      <c r="DN17" s="19"/>
    </row>
    <row r="18" spans="1:122" x14ac:dyDescent="0.25">
      <c r="A18" s="82"/>
      <c r="B18" s="73"/>
      <c r="C18" s="81"/>
      <c r="D18" s="73"/>
      <c r="E18" s="79"/>
      <c r="F18" s="3"/>
      <c r="I18" s="27"/>
      <c r="L18" s="13" t="s">
        <v>5</v>
      </c>
      <c r="M18" s="68"/>
      <c r="N18" s="4"/>
      <c r="O18" s="4"/>
      <c r="P18" s="68"/>
      <c r="Q18" s="68"/>
      <c r="R18" s="68"/>
      <c r="S18" s="68"/>
      <c r="U18" s="4"/>
      <c r="V18" s="68"/>
      <c r="W18" s="4"/>
      <c r="X18" s="4"/>
      <c r="Y18" s="176"/>
      <c r="Z18" s="4">
        <v>1316.6666666666667</v>
      </c>
      <c r="AA18" s="68">
        <f t="shared" si="14"/>
        <v>1652.5595040000001</v>
      </c>
      <c r="AB18" s="68"/>
      <c r="AC18" s="68"/>
      <c r="AD18" s="177">
        <v>4375.7352941176468</v>
      </c>
      <c r="AE18" s="177">
        <v>580</v>
      </c>
      <c r="AF18" s="177">
        <v>223.26542820699979</v>
      </c>
      <c r="AG18" s="67">
        <f t="shared" si="0"/>
        <v>8148.2268929913134</v>
      </c>
      <c r="AH18" s="3"/>
      <c r="AI18" s="3"/>
      <c r="AJ18" s="13" t="s">
        <v>5</v>
      </c>
      <c r="AK18" s="65">
        <v>3.5270623160773729E-2</v>
      </c>
      <c r="AL18" s="65">
        <v>2.6053763228258541E-2</v>
      </c>
      <c r="AM18" s="65">
        <v>4.4827586206896551E-2</v>
      </c>
      <c r="AN18" s="66">
        <v>1.5973392651191336E-2</v>
      </c>
      <c r="AO18" s="65">
        <v>2.2095441939423741E-2</v>
      </c>
      <c r="AP18" s="65">
        <v>6.1908612397159092E-2</v>
      </c>
      <c r="AQ18" s="65">
        <v>6.3600000000000004E-2</v>
      </c>
      <c r="AR18" s="65">
        <v>5.2666666666666667E-2</v>
      </c>
      <c r="AS18" s="64"/>
      <c r="AT18" s="64"/>
      <c r="AU18" s="64"/>
      <c r="AV18" s="61">
        <f t="shared" si="1"/>
        <v>41611.611966669625</v>
      </c>
      <c r="AW18" s="61">
        <f t="shared" si="2"/>
        <v>4543.8391612456971</v>
      </c>
      <c r="AX18" s="61">
        <f t="shared" si="3"/>
        <v>5978.5005495892065</v>
      </c>
      <c r="AY18" s="61">
        <f t="shared" si="4"/>
        <v>2040.0873771672291</v>
      </c>
      <c r="AZ18" s="61">
        <f t="shared" si="5"/>
        <v>16513.076190739848</v>
      </c>
      <c r="BA18" s="61">
        <f t="shared" si="6"/>
        <v>10439.523231869664</v>
      </c>
      <c r="BB18" s="61">
        <f t="shared" si="7"/>
        <v>2161.2220527193485</v>
      </c>
      <c r="BC18" s="12">
        <f t="shared" si="8"/>
        <v>83287.860530000617</v>
      </c>
      <c r="BG18" s="72" t="s">
        <v>5</v>
      </c>
      <c r="BH18" s="70">
        <f t="shared" si="9"/>
        <v>8148.2268929913134</v>
      </c>
      <c r="BI18" s="70"/>
      <c r="BJ18" s="70">
        <f t="shared" si="10"/>
        <v>38669.370000000003</v>
      </c>
      <c r="BK18" s="70"/>
      <c r="BL18" s="68">
        <f>-1143*1.0276*1.0091*1.0182*1.0155*1.0184*1.0123*1.0203</f>
        <v>-1289.0598054507223</v>
      </c>
      <c r="BM18" s="68">
        <f>-960*1.006*1.0089*1.0057*1.0276*1.0091*1.0182*1.0155*1.0184*1.0123*1.0203</f>
        <v>-1105.1281011652859</v>
      </c>
      <c r="BN18" s="68">
        <f>-800*1.0276*1.0091*1.0182*1.0155*1.0184*1.0123*1.0203</f>
        <v>-902.22908517985809</v>
      </c>
      <c r="BO18" s="70">
        <f t="shared" si="11"/>
        <v>83287.860530000617</v>
      </c>
      <c r="BP18" s="70"/>
      <c r="BQ18" s="63">
        <f t="shared" si="12"/>
        <v>126809.04043119607</v>
      </c>
      <c r="BR18" s="62">
        <f t="shared" si="13"/>
        <v>3.998642842315115E-2</v>
      </c>
      <c r="BS18" s="71"/>
      <c r="BT18" s="70"/>
      <c r="BU18" s="70">
        <v>3670.3421315280725</v>
      </c>
      <c r="BV18" s="69"/>
      <c r="BW18" s="41"/>
      <c r="BX18" s="92"/>
      <c r="BY18" s="94"/>
      <c r="BZ18" s="93"/>
      <c r="CA18" s="101"/>
      <c r="CB18" s="93"/>
      <c r="CC18" s="92"/>
      <c r="CE18" s="49"/>
      <c r="CF18" s="49"/>
      <c r="CG18" s="37"/>
      <c r="CH18" s="49"/>
      <c r="CI18" s="41"/>
      <c r="CJ18" s="41"/>
      <c r="CK18" s="41"/>
      <c r="CL18" s="18"/>
      <c r="CM18" s="100"/>
      <c r="CN18" s="99"/>
      <c r="CO18" s="98"/>
      <c r="CP18" s="98"/>
      <c r="CQ18" s="97"/>
      <c r="CR18" s="19"/>
      <c r="CS18" s="3"/>
      <c r="CT18" s="3"/>
      <c r="CU18" s="19"/>
      <c r="CV18" s="96"/>
      <c r="CW18" s="19"/>
      <c r="CY18" s="95"/>
      <c r="DI18" s="18"/>
      <c r="DJ18" s="16"/>
      <c r="DK18" s="16"/>
      <c r="DM18" s="19"/>
      <c r="DN18" s="19"/>
    </row>
    <row r="19" spans="1:122" x14ac:dyDescent="0.25">
      <c r="A19" s="82" t="s">
        <v>25</v>
      </c>
      <c r="B19" s="73"/>
      <c r="C19" s="81">
        <f>SUM(-AG36)</f>
        <v>-252652.1419753021</v>
      </c>
      <c r="D19" s="73" t="s">
        <v>64</v>
      </c>
      <c r="E19" s="79"/>
      <c r="F19" s="3"/>
      <c r="I19" s="27"/>
      <c r="L19" s="13" t="s">
        <v>6</v>
      </c>
      <c r="M19" s="68"/>
      <c r="N19" s="4"/>
      <c r="O19" s="4"/>
      <c r="P19" s="68"/>
      <c r="Q19" s="68"/>
      <c r="R19" s="68"/>
      <c r="S19" s="68"/>
      <c r="T19" s="68"/>
      <c r="U19" s="4"/>
      <c r="V19" s="68"/>
      <c r="W19" s="4"/>
      <c r="X19" s="4"/>
      <c r="Y19" s="176"/>
      <c r="Z19" s="4">
        <v>913.33333333333337</v>
      </c>
      <c r="AA19" s="68">
        <f t="shared" si="14"/>
        <v>1652.5595040000001</v>
      </c>
      <c r="AB19" s="68"/>
      <c r="AC19" s="68"/>
      <c r="AD19" s="177">
        <v>2644.8529411764707</v>
      </c>
      <c r="AE19" s="3">
        <v>330</v>
      </c>
      <c r="AF19" s="177">
        <v>70.730261207012518</v>
      </c>
      <c r="AG19" s="67">
        <f t="shared" si="0"/>
        <v>5611.4760397168166</v>
      </c>
      <c r="AH19" s="3"/>
      <c r="AI19" s="3"/>
      <c r="AJ19" s="13" t="s">
        <v>6</v>
      </c>
      <c r="AK19" s="65">
        <v>1.9538845094199175E-2</v>
      </c>
      <c r="AL19" s="65">
        <v>2.0902415113363795E-2</v>
      </c>
      <c r="AM19" s="65">
        <v>2.7586206896551724E-2</v>
      </c>
      <c r="AN19" s="66">
        <v>1.7083418914716986E-2</v>
      </c>
      <c r="AO19" s="65">
        <v>1.7651885591313411E-2</v>
      </c>
      <c r="AP19" s="65">
        <v>2.4534223241987139E-2</v>
      </c>
      <c r="AQ19" s="65">
        <v>4.1300000000000003E-2</v>
      </c>
      <c r="AR19" s="65">
        <v>3.6533333333333334E-2</v>
      </c>
      <c r="AS19" s="64"/>
      <c r="AT19" s="64"/>
      <c r="AU19" s="64"/>
      <c r="AV19" s="61">
        <f t="shared" si="1"/>
        <v>23051.558704551306</v>
      </c>
      <c r="AW19" s="61">
        <f t="shared" si="2"/>
        <v>3645.4316224729391</v>
      </c>
      <c r="AX19" s="61">
        <f t="shared" si="3"/>
        <v>3679.0772612856654</v>
      </c>
      <c r="AY19" s="61">
        <f t="shared" si="4"/>
        <v>1629.8107581086822</v>
      </c>
      <c r="AZ19" s="61">
        <f t="shared" si="5"/>
        <v>6544.0894568353342</v>
      </c>
      <c r="BA19" s="61">
        <f t="shared" si="6"/>
        <v>6779.1243628336024</v>
      </c>
      <c r="BB19" s="61">
        <f t="shared" si="7"/>
        <v>1499.1768163167126</v>
      </c>
      <c r="BC19" s="12">
        <f t="shared" si="8"/>
        <v>46828.268982404239</v>
      </c>
      <c r="BG19" s="72" t="s">
        <v>6</v>
      </c>
      <c r="BH19" s="70">
        <f t="shared" si="9"/>
        <v>5611.4760397168166</v>
      </c>
      <c r="BI19" s="70"/>
      <c r="BJ19" s="70">
        <f t="shared" si="10"/>
        <v>38669.370000000003</v>
      </c>
      <c r="BK19" s="70"/>
      <c r="BL19" s="68">
        <f>-1272*1.0276*1.0091*1.0182*1.0155*1.0184*1.0123*1.0203</f>
        <v>-1434.5442454359745</v>
      </c>
      <c r="BM19" s="68">
        <f>-98*1.006*1.0089*1.0057*1.0276*1.0091*1.0182*1.0155*1.0184*1.0123*1.0203</f>
        <v>-112.81516032728962</v>
      </c>
      <c r="BN19" s="68">
        <f>-551*1.0276*1.0091*1.0182*1.0155*1.0184*1.0123*1.0203</f>
        <v>-621.41028241762729</v>
      </c>
      <c r="BO19" s="70">
        <f t="shared" si="11"/>
        <v>46828.268982404239</v>
      </c>
      <c r="BP19" s="70"/>
      <c r="BQ19" s="63">
        <f t="shared" si="12"/>
        <v>88940.34533394016</v>
      </c>
      <c r="BR19" s="62">
        <f t="shared" si="13"/>
        <v>2.8045372321507119E-2</v>
      </c>
      <c r="BS19" s="71"/>
      <c r="BT19" s="70"/>
      <c r="BU19" s="70">
        <v>2544.8338739843894</v>
      </c>
      <c r="BV19" s="69"/>
      <c r="BW19" s="41"/>
      <c r="BX19" s="92"/>
      <c r="BY19" s="94"/>
      <c r="BZ19" s="93"/>
      <c r="CA19" s="93"/>
      <c r="CB19" s="93"/>
      <c r="CC19" s="92"/>
      <c r="CE19" s="91"/>
      <c r="CF19" s="49"/>
      <c r="CG19" s="37"/>
      <c r="CH19" s="49"/>
      <c r="CI19" s="41"/>
      <c r="CJ19" s="90"/>
      <c r="CK19" s="90"/>
      <c r="CL19" s="89"/>
      <c r="CM19" s="88"/>
      <c r="CN19" s="88"/>
      <c r="CO19" s="87"/>
      <c r="CP19" s="86"/>
      <c r="CR19" s="19"/>
      <c r="CS19" s="3"/>
      <c r="CT19" s="3"/>
      <c r="CU19" s="3"/>
      <c r="CV19" s="3"/>
      <c r="CW19" s="3"/>
      <c r="DI19" s="85"/>
    </row>
    <row r="20" spans="1:122" x14ac:dyDescent="0.25">
      <c r="A20" s="82" t="s">
        <v>26</v>
      </c>
      <c r="B20" s="73"/>
      <c r="C20" s="81">
        <f>-6*3000</f>
        <v>-18000</v>
      </c>
      <c r="D20" s="73" t="s">
        <v>66</v>
      </c>
      <c r="E20" s="79" t="s">
        <v>65</v>
      </c>
      <c r="F20" s="19"/>
      <c r="I20" s="27"/>
      <c r="J20" s="2"/>
      <c r="L20" s="13" t="s">
        <v>7</v>
      </c>
      <c r="M20" s="68"/>
      <c r="N20" s="4"/>
      <c r="O20" s="4"/>
      <c r="P20" s="68"/>
      <c r="Q20" s="68"/>
      <c r="R20" s="68"/>
      <c r="S20" s="68"/>
      <c r="T20" s="68">
        <v>5700</v>
      </c>
      <c r="U20" s="4"/>
      <c r="V20" s="68"/>
      <c r="W20" s="4">
        <f>1680*1.0276*1.0091*1.0182*1.0155*1.0184*1.0123*1.0203</f>
        <v>1894.6810788777018</v>
      </c>
      <c r="X20" s="4"/>
      <c r="Y20" s="176"/>
      <c r="Z20" s="4">
        <v>1192.5</v>
      </c>
      <c r="AA20" s="68">
        <f t="shared" si="14"/>
        <v>1652.5595040000001</v>
      </c>
      <c r="AB20" s="68"/>
      <c r="AC20" s="68"/>
      <c r="AD20" s="3">
        <v>4014.9999999999995</v>
      </c>
      <c r="AE20" s="177">
        <v>400</v>
      </c>
      <c r="AF20" s="177">
        <v>-50.947652006812859</v>
      </c>
      <c r="AG20" s="67">
        <f t="shared" si="0"/>
        <v>14803.79293087089</v>
      </c>
      <c r="AH20" s="3"/>
      <c r="AI20" s="3"/>
      <c r="AJ20" s="13" t="s">
        <v>7</v>
      </c>
      <c r="AK20" s="65">
        <v>2.3916478538755653E-2</v>
      </c>
      <c r="AL20" s="65">
        <v>2.6144864952665672E-2</v>
      </c>
      <c r="AM20" s="65">
        <v>4.1379310344827586E-2</v>
      </c>
      <c r="AN20" s="66">
        <v>3.1567035798027852E-2</v>
      </c>
      <c r="AO20" s="65">
        <v>3.7763675041020246E-2</v>
      </c>
      <c r="AP20" s="65">
        <v>4.0441183391911953E-2</v>
      </c>
      <c r="AQ20" s="65">
        <v>5.9799999999999999E-2</v>
      </c>
      <c r="AR20" s="65">
        <v>4.7699999999999999E-2</v>
      </c>
      <c r="AS20" s="64"/>
      <c r="AT20" s="64"/>
      <c r="AU20" s="64"/>
      <c r="AV20" s="61">
        <f t="shared" si="1"/>
        <v>28216.207579533173</v>
      </c>
      <c r="AW20" s="61">
        <f t="shared" si="2"/>
        <v>4559.7275217635806</v>
      </c>
      <c r="AX20" s="61">
        <f t="shared" si="3"/>
        <v>5518.6158919284981</v>
      </c>
      <c r="AY20" s="61">
        <f t="shared" si="4"/>
        <v>3486.7461342409256</v>
      </c>
      <c r="AZ20" s="61">
        <f t="shared" si="5"/>
        <v>10787.002272158341</v>
      </c>
      <c r="BA20" s="61">
        <f t="shared" si="6"/>
        <v>9815.7781331101542</v>
      </c>
      <c r="BB20" s="61">
        <f t="shared" si="7"/>
        <v>1957.4106059755618</v>
      </c>
      <c r="BC20" s="12">
        <f t="shared" si="8"/>
        <v>64341.488138710243</v>
      </c>
      <c r="BG20" s="72" t="s">
        <v>7</v>
      </c>
      <c r="BH20" s="70">
        <f t="shared" si="9"/>
        <v>14803.79293087089</v>
      </c>
      <c r="BI20" s="70"/>
      <c r="BJ20" s="70">
        <f t="shared" si="10"/>
        <v>38669.370000000003</v>
      </c>
      <c r="BK20" s="70"/>
      <c r="BL20" s="68">
        <f>1272*1.0276*1.0091*1.0182*1.0155*1.0184*1.0123*1.0203</f>
        <v>1434.5442454359745</v>
      </c>
      <c r="BM20" s="68">
        <f>-257*1.006*1.0089*1.0057*1.0276*1.0091*1.0182*1.0155*1.0184*1.0123*1.0203</f>
        <v>-295.85200208279014</v>
      </c>
      <c r="BN20" s="68">
        <f>-574*1.0276*1.0091*1.0182*1.0155*1.0184*1.0123*1.0203</f>
        <v>-647.3493686165483</v>
      </c>
      <c r="BO20" s="70">
        <f t="shared" si="11"/>
        <v>64341.488138710243</v>
      </c>
      <c r="BP20" s="70"/>
      <c r="BQ20" s="63">
        <f t="shared" si="12"/>
        <v>118305.99394431777</v>
      </c>
      <c r="BR20" s="62">
        <f t="shared" si="13"/>
        <v>3.730518063064249E-2</v>
      </c>
      <c r="BS20" s="71"/>
      <c r="BT20" s="70"/>
      <c r="BU20" s="70">
        <v>3167.0324182733384</v>
      </c>
      <c r="BV20" s="69"/>
      <c r="BW20" s="41"/>
      <c r="BX20" s="41"/>
      <c r="BY20" s="43"/>
      <c r="BZ20" s="42"/>
      <c r="CA20" s="31"/>
      <c r="CB20" s="31"/>
      <c r="CC20" s="4"/>
      <c r="CE20" s="49"/>
      <c r="CF20" s="49"/>
      <c r="CG20" s="37"/>
      <c r="CH20" s="49"/>
      <c r="CI20" s="41"/>
      <c r="CJ20" s="41"/>
      <c r="CK20" s="41"/>
      <c r="CL20" s="41"/>
      <c r="CM20" s="40"/>
      <c r="CN20" s="40"/>
      <c r="CO20" s="39"/>
      <c r="CP20" s="84"/>
      <c r="CQ20" s="83"/>
      <c r="CR20" s="4"/>
      <c r="CS20" s="3"/>
      <c r="CT20" s="4"/>
      <c r="CU20" s="4"/>
      <c r="CV20" s="2"/>
      <c r="CW20" s="4"/>
      <c r="CY20" s="4"/>
      <c r="CZ20" s="4"/>
      <c r="DA20" s="4"/>
      <c r="DB20" s="4"/>
      <c r="DD20" s="4"/>
      <c r="DE20" s="2"/>
      <c r="DI20" s="2"/>
      <c r="DJ20" s="2"/>
      <c r="DK20" s="2"/>
      <c r="DO20" s="2"/>
      <c r="DP20" s="4"/>
      <c r="DR20" s="48"/>
    </row>
    <row r="21" spans="1:122" x14ac:dyDescent="0.25">
      <c r="A21" s="82" t="s">
        <v>27</v>
      </c>
      <c r="B21" s="73"/>
      <c r="C21" s="81">
        <f>-21*B36</f>
        <v>-812056.77</v>
      </c>
      <c r="D21" s="73" t="s">
        <v>98</v>
      </c>
      <c r="E21" s="79" t="s">
        <v>64</v>
      </c>
      <c r="F21" s="19"/>
      <c r="I21" s="27"/>
      <c r="J21" s="2"/>
      <c r="L21" s="13" t="s">
        <v>8</v>
      </c>
      <c r="M21" s="68"/>
      <c r="N21" s="4"/>
      <c r="O21" s="4"/>
      <c r="P21" s="68"/>
      <c r="Q21" s="68"/>
      <c r="R21" s="68"/>
      <c r="S21" s="68"/>
      <c r="T21" s="68"/>
      <c r="U21" s="4"/>
      <c r="V21" s="68"/>
      <c r="W21" s="4">
        <f>840*1.0276*1.0091*1.0182*1.0155*1.0184*1.0123*1.0203</f>
        <v>947.3405394388509</v>
      </c>
      <c r="X21" s="4"/>
      <c r="Y21" s="176"/>
      <c r="Z21" s="4">
        <v>542.5</v>
      </c>
      <c r="AA21" s="68">
        <f t="shared" si="14"/>
        <v>1652.5595040000001</v>
      </c>
      <c r="AB21" s="68"/>
      <c r="AC21" s="68"/>
      <c r="AD21" s="177">
        <v>1646.7647058823529</v>
      </c>
      <c r="AE21" s="177">
        <v>320</v>
      </c>
      <c r="AF21" s="177">
        <v>-123.17561516735077</v>
      </c>
      <c r="AG21" s="67">
        <f t="shared" si="0"/>
        <v>4985.9891341538532</v>
      </c>
      <c r="AH21" s="3"/>
      <c r="AI21" s="3"/>
      <c r="AJ21" s="13" t="s">
        <v>8</v>
      </c>
      <c r="AK21" s="65">
        <v>5.7915863691614571E-3</v>
      </c>
      <c r="AL21" s="65">
        <v>7.0999053872018349E-3</v>
      </c>
      <c r="AM21" s="65">
        <v>3.4482758620689655E-3</v>
      </c>
      <c r="AN21" s="66">
        <v>2.3554233246670563E-2</v>
      </c>
      <c r="AO21" s="65">
        <v>3.2674921884580557E-2</v>
      </c>
      <c r="AP21" s="65">
        <v>9.6136510675157941E-3</v>
      </c>
      <c r="AQ21" s="65">
        <v>2.7400000000000001E-2</v>
      </c>
      <c r="AR21" s="65">
        <v>2.1700000000000001E-2</v>
      </c>
      <c r="AS21" s="64"/>
      <c r="AT21" s="64"/>
      <c r="AU21" s="64"/>
      <c r="AV21" s="61">
        <f t="shared" si="1"/>
        <v>6832.8037065425306</v>
      </c>
      <c r="AW21" s="61">
        <f t="shared" si="2"/>
        <v>1238.2406279226534</v>
      </c>
      <c r="AX21" s="61">
        <f t="shared" si="3"/>
        <v>459.88465766070817</v>
      </c>
      <c r="AY21" s="61">
        <f t="shared" si="4"/>
        <v>3016.8980493538188</v>
      </c>
      <c r="AZ21" s="61">
        <f t="shared" si="5"/>
        <v>2564.2789654313215</v>
      </c>
      <c r="BA21" s="61">
        <f t="shared" si="6"/>
        <v>4497.5304489501377</v>
      </c>
      <c r="BB21" s="61">
        <f t="shared" si="7"/>
        <v>890.47820020271888</v>
      </c>
      <c r="BC21" s="12">
        <f t="shared" si="8"/>
        <v>19500.114656063888</v>
      </c>
      <c r="BG21" s="72" t="s">
        <v>8</v>
      </c>
      <c r="BH21" s="70">
        <f t="shared" si="9"/>
        <v>4985.9891341538532</v>
      </c>
      <c r="BI21" s="70"/>
      <c r="BJ21" s="70">
        <f t="shared" si="10"/>
        <v>38669.370000000003</v>
      </c>
      <c r="BK21" s="70"/>
      <c r="BL21" s="68">
        <f>-872*1.0276*1.0091*1.0182*1.0155*1.0184*1.0123*1.0203</f>
        <v>-983.42970284604542</v>
      </c>
      <c r="BM21" s="68">
        <f>-128*1.006*1.0089*1.0057*1.0276*1.0091*1.0182*1.0155*1.0184*1.0123*1.0203</f>
        <v>-147.35041348870476</v>
      </c>
      <c r="BN21" s="68">
        <f>-352*1.0276*1.0091*1.0182*1.0155*1.0184*1.0123*1.0203</f>
        <v>-396.98079747913755</v>
      </c>
      <c r="BO21" s="70">
        <f t="shared" si="11"/>
        <v>19500.114656063888</v>
      </c>
      <c r="BP21" s="70"/>
      <c r="BQ21" s="63">
        <f t="shared" si="12"/>
        <v>61627.712876403857</v>
      </c>
      <c r="BR21" s="62">
        <f t="shared" si="13"/>
        <v>1.9432937284561316E-2</v>
      </c>
      <c r="BS21" s="71"/>
      <c r="BT21" s="70"/>
      <c r="BU21" s="70">
        <v>1833.6472653716389</v>
      </c>
      <c r="BV21" s="69"/>
      <c r="BW21" s="41"/>
      <c r="BX21" s="41"/>
      <c r="BY21" s="43"/>
      <c r="BZ21" s="42"/>
      <c r="CA21" s="31"/>
      <c r="CB21" s="31"/>
      <c r="CC21" s="4"/>
      <c r="CE21" s="49"/>
      <c r="CF21" s="49"/>
      <c r="CG21" s="37"/>
      <c r="CH21" s="49"/>
      <c r="CI21" s="41"/>
      <c r="CJ21" s="41"/>
      <c r="CK21" s="41"/>
      <c r="CL21" s="41"/>
      <c r="CM21" s="40"/>
      <c r="CN21" s="40"/>
      <c r="CO21" s="39"/>
      <c r="CP21" s="84"/>
      <c r="CQ21" s="37"/>
      <c r="CR21" s="4"/>
      <c r="CS21" s="58"/>
      <c r="CT21" s="4"/>
      <c r="CU21" s="4"/>
      <c r="CV21" s="2"/>
      <c r="CW21" s="4"/>
      <c r="CY21" s="4"/>
      <c r="CZ21" s="4"/>
      <c r="DA21" s="4"/>
      <c r="DB21" s="4"/>
      <c r="DD21" s="4"/>
      <c r="DE21" s="2"/>
      <c r="DI21" s="2"/>
      <c r="DJ21" s="2"/>
      <c r="DK21" s="2"/>
      <c r="DO21" s="2"/>
      <c r="DP21" s="4"/>
      <c r="DR21" s="48"/>
    </row>
    <row r="22" spans="1:122" x14ac:dyDescent="0.25">
      <c r="A22" s="82" t="s">
        <v>140</v>
      </c>
      <c r="B22" s="73"/>
      <c r="C22" s="73">
        <v>-30000</v>
      </c>
      <c r="D22" s="73"/>
      <c r="E22" s="79"/>
      <c r="F22" s="3"/>
      <c r="I22" s="27"/>
      <c r="J22" s="2"/>
      <c r="L22" s="13" t="s">
        <v>9</v>
      </c>
      <c r="M22" s="68"/>
      <c r="N22" s="4"/>
      <c r="O22" s="4"/>
      <c r="P22" s="68"/>
      <c r="Q22" s="68"/>
      <c r="R22" s="68"/>
      <c r="S22" s="68"/>
      <c r="T22" s="68"/>
      <c r="U22" s="4">
        <f>-4648*1.006*1.0089*1.0057*1.0276*1.0091*1.0182*1.0155*1.0184*1.0123*1.0203</f>
        <v>-5350.6618898085917</v>
      </c>
      <c r="V22" s="68"/>
      <c r="W22" s="4">
        <f>840*1.0276*1.0091*1.0182*1.0155*1.0184*1.0123*1.0203</f>
        <v>947.3405394388509</v>
      </c>
      <c r="X22" s="4"/>
      <c r="Y22" s="176"/>
      <c r="Z22" s="4">
        <v>633.33333333333337</v>
      </c>
      <c r="AA22" s="68">
        <f t="shared" si="14"/>
        <v>1652.5595040000001</v>
      </c>
      <c r="AB22" s="68"/>
      <c r="AC22" s="68"/>
      <c r="AD22" s="177">
        <v>145.58823529411765</v>
      </c>
      <c r="AE22" s="3">
        <v>180</v>
      </c>
      <c r="AF22" s="177">
        <v>53.75780790540739</v>
      </c>
      <c r="AG22" s="67">
        <f t="shared" si="0"/>
        <v>-1738.082469836882</v>
      </c>
      <c r="AH22" s="3"/>
      <c r="AI22" s="3"/>
      <c r="AJ22" s="13" t="s">
        <v>9</v>
      </c>
      <c r="AK22" s="65">
        <v>1.5609101888186773E-2</v>
      </c>
      <c r="AL22" s="65">
        <v>6.8434462749413696E-3</v>
      </c>
      <c r="AM22" s="65">
        <v>1.7241379310344827E-2</v>
      </c>
      <c r="AN22" s="66">
        <v>1.5384879115894487E-2</v>
      </c>
      <c r="AO22" s="65">
        <v>3.4994426256917663E-2</v>
      </c>
      <c r="AP22" s="65">
        <v>2.0591277571049241E-2</v>
      </c>
      <c r="AQ22" s="65">
        <v>2.2499999999999999E-2</v>
      </c>
      <c r="AR22" s="65">
        <v>2.5333333333333333E-2</v>
      </c>
      <c r="AS22" s="64"/>
      <c r="AT22" s="64"/>
      <c r="AU22" s="64"/>
      <c r="AV22" s="61">
        <f t="shared" si="1"/>
        <v>18415.322234561554</v>
      </c>
      <c r="AW22" s="61">
        <f t="shared" si="2"/>
        <v>1193.5135400414108</v>
      </c>
      <c r="AX22" s="61">
        <f t="shared" si="3"/>
        <v>2299.4232883035406</v>
      </c>
      <c r="AY22" s="61">
        <f t="shared" si="4"/>
        <v>3231.0594861000141</v>
      </c>
      <c r="AZ22" s="61">
        <f t="shared" si="5"/>
        <v>5492.3753292039873</v>
      </c>
      <c r="BA22" s="61">
        <f t="shared" si="6"/>
        <v>3693.227558444456</v>
      </c>
      <c r="BB22" s="61">
        <f t="shared" si="7"/>
        <v>1039.5751645991802</v>
      </c>
      <c r="BC22" s="12">
        <f t="shared" si="8"/>
        <v>35364.496601254141</v>
      </c>
      <c r="BG22" s="72" t="s">
        <v>9</v>
      </c>
      <c r="BH22" s="70">
        <f t="shared" si="9"/>
        <v>-1738.082469836882</v>
      </c>
      <c r="BI22" s="70"/>
      <c r="BJ22" s="70">
        <f t="shared" si="10"/>
        <v>38669.370000000003</v>
      </c>
      <c r="BK22" s="70"/>
      <c r="BL22" s="68">
        <f>-1610*1.0276*1.0091*1.0182*1.0155*1.0184*1.0123*1.0203</f>
        <v>-1815.7360339244644</v>
      </c>
      <c r="BM22" s="68">
        <f>-76*1.006*1.0089*1.0057*1.0276*1.0091*1.0182*1.0155*1.0184*1.0123*1.0203</f>
        <v>-87.489308008918485</v>
      </c>
      <c r="BN22" s="68">
        <f>-363*1.0276*1.0091*1.0182*1.0155*1.0184*1.0123*1.0203</f>
        <v>-409.38644740036051</v>
      </c>
      <c r="BO22" s="70">
        <f t="shared" si="11"/>
        <v>35364.496601254141</v>
      </c>
      <c r="BP22" s="70"/>
      <c r="BQ22" s="63">
        <f t="shared" si="12"/>
        <v>69983.172342083519</v>
      </c>
      <c r="BR22" s="62">
        <f t="shared" si="13"/>
        <v>2.20676467716047E-2</v>
      </c>
      <c r="BS22" s="71"/>
      <c r="BT22" s="70"/>
      <c r="BU22" s="70">
        <v>2084.2976182123243</v>
      </c>
      <c r="BV22" s="69"/>
      <c r="BW22" s="41"/>
      <c r="BX22" s="41"/>
      <c r="BY22" s="43"/>
      <c r="BZ22" s="42"/>
      <c r="CA22" s="31"/>
      <c r="CB22" s="31"/>
      <c r="CC22" s="4"/>
      <c r="CE22" s="49"/>
      <c r="CF22" s="49"/>
      <c r="CG22" s="37"/>
      <c r="CH22" s="49"/>
      <c r="CI22" s="41"/>
      <c r="CJ22" s="41"/>
      <c r="CK22" s="41"/>
      <c r="CL22" s="41"/>
      <c r="CM22" s="40"/>
      <c r="CN22" s="40"/>
      <c r="CO22" s="39"/>
      <c r="CP22" s="38"/>
      <c r="CQ22" s="37"/>
      <c r="CR22" s="4"/>
      <c r="CS22" s="58"/>
      <c r="CT22" s="4"/>
      <c r="CU22" s="4"/>
      <c r="CV22" s="2"/>
      <c r="CW22" s="4"/>
      <c r="CY22" s="4"/>
      <c r="CZ22" s="4"/>
      <c r="DA22" s="4"/>
      <c r="DB22" s="4"/>
      <c r="DD22" s="4"/>
      <c r="DE22" s="2"/>
      <c r="DI22" s="2"/>
      <c r="DJ22" s="2"/>
      <c r="DK22" s="2"/>
      <c r="DO22" s="2"/>
      <c r="DP22" s="4"/>
      <c r="DR22" s="48"/>
    </row>
    <row r="23" spans="1:122" x14ac:dyDescent="0.25">
      <c r="A23" s="82" t="s">
        <v>99</v>
      </c>
      <c r="B23" s="73"/>
      <c r="C23" s="81">
        <f>-(BL35+BM35+BN35)</f>
        <v>0</v>
      </c>
      <c r="D23" s="73"/>
      <c r="E23" s="79"/>
      <c r="F23" s="3"/>
      <c r="I23" s="27"/>
      <c r="J23" s="2"/>
      <c r="L23" s="13" t="s">
        <v>10</v>
      </c>
      <c r="M23" s="68"/>
      <c r="N23" s="4"/>
      <c r="O23" s="4"/>
      <c r="P23" s="68"/>
      <c r="Q23" s="68"/>
      <c r="R23" s="68">
        <v>6586</v>
      </c>
      <c r="S23" s="68"/>
      <c r="T23" s="68"/>
      <c r="U23" s="4">
        <f>4648*1.006*1.0089*1.0057*1.0276*1.0091*1.0182*1.0155*1.0184*1.0123*1.0203</f>
        <v>5350.6618898085917</v>
      </c>
      <c r="V23" s="68">
        <f>1200*1.0057*1.0276*1.0091*1.0182*1.0155*1.0184*1.0123*1.0203</f>
        <v>1361.0576864480752</v>
      </c>
      <c r="W23" s="4">
        <f>840*1.0276*1.0091*1.0182*1.0155*1.0184*1.0123*1.0203</f>
        <v>947.3405394388509</v>
      </c>
      <c r="X23" s="4"/>
      <c r="Y23" s="176"/>
      <c r="Z23" s="4">
        <v>3273.333333333333</v>
      </c>
      <c r="AA23" s="68">
        <f>2400*1.0123*1.0203</f>
        <v>2478.8392559999998</v>
      </c>
      <c r="AB23" s="68"/>
      <c r="AC23" s="68">
        <v>3000</v>
      </c>
      <c r="AD23" s="177">
        <v>7402.3529411764703</v>
      </c>
      <c r="AE23" s="177">
        <v>1660</v>
      </c>
      <c r="AF23" s="177">
        <v>63.539838947792305</v>
      </c>
      <c r="AG23" s="67">
        <f t="shared" si="0"/>
        <v>32123.125485153112</v>
      </c>
      <c r="AH23" s="3"/>
      <c r="AI23" s="3"/>
      <c r="AJ23" s="13" t="s">
        <v>10</v>
      </c>
      <c r="AK23" s="65">
        <v>0.13315145327283914</v>
      </c>
      <c r="AL23" s="65">
        <v>2.5234956002078628E-2</v>
      </c>
      <c r="AM23" s="65">
        <v>0.11379310344827587</v>
      </c>
      <c r="AN23" s="66">
        <v>3.9832257577114394E-2</v>
      </c>
      <c r="AO23" s="65">
        <v>1.6725598525630627E-2</v>
      </c>
      <c r="AP23" s="65">
        <v>0.11818132942485386</v>
      </c>
      <c r="AQ23" s="65">
        <v>0.125</v>
      </c>
      <c r="AR23" s="65">
        <v>0.13093333333333332</v>
      </c>
      <c r="AS23" s="64"/>
      <c r="AT23" s="64"/>
      <c r="AU23" s="64"/>
      <c r="AV23" s="61">
        <f t="shared" si="1"/>
        <v>157089.55810425154</v>
      </c>
      <c r="AW23" s="61">
        <f t="shared" si="2"/>
        <v>4401.0372056421447</v>
      </c>
      <c r="AX23" s="61">
        <f t="shared" si="3"/>
        <v>15176.19370280337</v>
      </c>
      <c r="AY23" s="61">
        <f t="shared" si="4"/>
        <v>1544.2860351584247</v>
      </c>
      <c r="AZ23" s="61">
        <f t="shared" si="5"/>
        <v>31522.872530173052</v>
      </c>
      <c r="BA23" s="61">
        <f t="shared" si="6"/>
        <v>20517.930880246979</v>
      </c>
      <c r="BB23" s="61">
        <f t="shared" si="7"/>
        <v>5372.9621665073419</v>
      </c>
      <c r="BC23" s="12">
        <f t="shared" si="8"/>
        <v>235624.84062478287</v>
      </c>
      <c r="BG23" s="72" t="s">
        <v>10</v>
      </c>
      <c r="BH23" s="70">
        <f t="shared" si="9"/>
        <v>32123.125485153112</v>
      </c>
      <c r="BI23" s="70">
        <f>3000</f>
        <v>3000</v>
      </c>
      <c r="BJ23" s="70">
        <f t="shared" si="10"/>
        <v>38669.370000000003</v>
      </c>
      <c r="BK23" s="70"/>
      <c r="BL23" s="68">
        <f>1610*1.0276*1.0091*1.0182*1.0155*1.0184*1.0123*1.0203</f>
        <v>1815.7360339244644</v>
      </c>
      <c r="BM23" s="68">
        <f>339*1.006*1.0089*1.0057*1.0276*1.0091*1.0182*1.0155*1.0184*1.0123*1.0203</f>
        <v>390.24836072399165</v>
      </c>
      <c r="BN23" s="68">
        <f>914*1.0276*1.0091*1.0182*1.0155*1.0184*1.0123*1.0203</f>
        <v>1030.7967298179879</v>
      </c>
      <c r="BO23" s="70">
        <f t="shared" si="11"/>
        <v>235624.84062478287</v>
      </c>
      <c r="BP23" s="70"/>
      <c r="BQ23" s="63">
        <f t="shared" si="12"/>
        <v>312654.11723440239</v>
      </c>
      <c r="BR23" s="62">
        <f t="shared" si="13"/>
        <v>9.8588566221193205E-2</v>
      </c>
      <c r="BS23" s="71"/>
      <c r="BT23" s="70"/>
      <c r="BU23" s="70">
        <v>8446.284644250276</v>
      </c>
      <c r="BV23" s="69"/>
      <c r="BW23" s="41"/>
      <c r="BX23" s="41"/>
      <c r="BY23" s="43"/>
      <c r="BZ23" s="42"/>
      <c r="CA23" s="31"/>
      <c r="CB23" s="31"/>
      <c r="CC23" s="4"/>
      <c r="CE23" s="49"/>
      <c r="CF23" s="49"/>
      <c r="CG23" s="37"/>
      <c r="CH23" s="49"/>
      <c r="CI23" s="41"/>
      <c r="CJ23" s="41"/>
      <c r="CK23" s="41"/>
      <c r="CL23" s="41"/>
      <c r="CM23" s="40"/>
      <c r="CN23" s="40"/>
      <c r="CO23" s="39"/>
      <c r="CP23" s="38"/>
      <c r="CQ23" s="37"/>
      <c r="CR23" s="4"/>
      <c r="CS23" s="58"/>
      <c r="CT23" s="4"/>
      <c r="CU23" s="4"/>
      <c r="CV23" s="2"/>
      <c r="CW23" s="4"/>
      <c r="CY23" s="4"/>
      <c r="CZ23" s="4"/>
      <c r="DA23" s="4"/>
      <c r="DB23" s="4"/>
      <c r="DD23" s="4"/>
      <c r="DE23" s="2"/>
      <c r="DI23" s="2"/>
      <c r="DJ23" s="2"/>
      <c r="DK23" s="2"/>
      <c r="DO23" s="2"/>
      <c r="DP23" s="4"/>
      <c r="DR23" s="48"/>
    </row>
    <row r="24" spans="1:122" x14ac:dyDescent="0.25">
      <c r="A24" s="82" t="s">
        <v>106</v>
      </c>
      <c r="B24" s="73"/>
      <c r="C24" s="81">
        <v>-800</v>
      </c>
      <c r="D24" s="73"/>
      <c r="E24" s="79"/>
      <c r="F24" s="3"/>
      <c r="I24" s="27"/>
      <c r="J24" s="2"/>
      <c r="L24" s="13" t="s">
        <v>11</v>
      </c>
      <c r="M24" s="68"/>
      <c r="N24" s="4"/>
      <c r="O24" s="4"/>
      <c r="P24" s="68"/>
      <c r="Q24" s="68"/>
      <c r="R24" s="68"/>
      <c r="S24" s="68"/>
      <c r="T24" s="68"/>
      <c r="U24" s="4"/>
      <c r="V24" s="68"/>
      <c r="W24" s="4">
        <f>840*1.0276*1.0091*1.0182*1.0155*1.0184*1.0123*1.0203</f>
        <v>947.3405394388509</v>
      </c>
      <c r="X24" s="4"/>
      <c r="Y24" s="176"/>
      <c r="Z24" s="4">
        <v>1299.1666666666667</v>
      </c>
      <c r="AA24" s="68">
        <f>1600*1.0123*1.0203</f>
        <v>1652.5595040000001</v>
      </c>
      <c r="AB24" s="68"/>
      <c r="AC24" s="68"/>
      <c r="AD24" s="177">
        <v>2672.3529411764707</v>
      </c>
      <c r="AE24" s="177">
        <v>450</v>
      </c>
      <c r="AF24" s="177">
        <v>48.762716481076495</v>
      </c>
      <c r="AG24" s="67">
        <f t="shared" si="0"/>
        <v>7070.1823677630655</v>
      </c>
      <c r="AH24" s="3"/>
      <c r="AI24" s="3"/>
      <c r="AJ24" s="13" t="s">
        <v>11</v>
      </c>
      <c r="AK24" s="65">
        <v>3.2194139206671239E-2</v>
      </c>
      <c r="AL24" s="65">
        <v>1.2711771610681148E-2</v>
      </c>
      <c r="AM24" s="65">
        <v>2.0689655172413793E-2</v>
      </c>
      <c r="AN24" s="66">
        <v>2.69264439203722E-2</v>
      </c>
      <c r="AO24" s="65">
        <v>9.9444781202547832E-3</v>
      </c>
      <c r="AP24" s="65">
        <v>3.2051920354992131E-2</v>
      </c>
      <c r="AQ24" s="65">
        <v>5.1999999999999998E-2</v>
      </c>
      <c r="AR24" s="65">
        <v>5.1966666666666668E-2</v>
      </c>
      <c r="AS24" s="64"/>
      <c r="AT24" s="64"/>
      <c r="AU24" s="64"/>
      <c r="AV24" s="61">
        <f t="shared" si="1"/>
        <v>37982.034572012955</v>
      </c>
      <c r="AW24" s="61">
        <f t="shared" si="2"/>
        <v>2216.9636358242537</v>
      </c>
      <c r="AX24" s="61">
        <f t="shared" si="3"/>
        <v>2759.307945964249</v>
      </c>
      <c r="AY24" s="61">
        <f t="shared" si="4"/>
        <v>918.180516201822</v>
      </c>
      <c r="AZ24" s="61">
        <f t="shared" si="5"/>
        <v>8549.3081234978272</v>
      </c>
      <c r="BA24" s="61">
        <f t="shared" si="6"/>
        <v>8535.4592461827433</v>
      </c>
      <c r="BB24" s="61">
        <f t="shared" si="7"/>
        <v>2132.4969494870029</v>
      </c>
      <c r="BC24" s="12">
        <f t="shared" si="8"/>
        <v>63093.750989170847</v>
      </c>
      <c r="BG24" s="72" t="s">
        <v>11</v>
      </c>
      <c r="BH24" s="70">
        <f t="shared" si="9"/>
        <v>7070.1823677630655</v>
      </c>
      <c r="BI24" s="70"/>
      <c r="BJ24" s="70">
        <f t="shared" si="10"/>
        <v>38669.370000000003</v>
      </c>
      <c r="BK24" s="70"/>
      <c r="BL24" s="68"/>
      <c r="BM24" s="68">
        <f>-203*1.006*1.0089*1.0057*1.0276*1.0091*1.0182*1.0155*1.0184*1.0123*1.0203</f>
        <v>-233.68854639224276</v>
      </c>
      <c r="BN24" s="68">
        <f>-645*1.0276*1.0091*1.0182*1.0155*1.0184*1.0123*1.0203</f>
        <v>-727.42219992626053</v>
      </c>
      <c r="BO24" s="70">
        <f t="shared" si="11"/>
        <v>63093.750989170847</v>
      </c>
      <c r="BP24" s="70"/>
      <c r="BQ24" s="63">
        <f t="shared" si="12"/>
        <v>107872.19261061541</v>
      </c>
      <c r="BR24" s="62">
        <f t="shared" si="13"/>
        <v>3.4015111966824801E-2</v>
      </c>
      <c r="BS24" s="71"/>
      <c r="BT24" s="70"/>
      <c r="BU24" s="70">
        <v>3056.0039907234377</v>
      </c>
      <c r="BV24" s="69"/>
      <c r="BW24" s="41"/>
      <c r="BX24" s="41"/>
      <c r="BY24" s="43"/>
      <c r="BZ24" s="42"/>
      <c r="CA24" s="31"/>
      <c r="CB24" s="31"/>
      <c r="CC24" s="4"/>
      <c r="CE24" s="49"/>
      <c r="CF24" s="49"/>
      <c r="CG24" s="37"/>
      <c r="CH24" s="49"/>
      <c r="CI24" s="41"/>
      <c r="CJ24" s="41"/>
      <c r="CK24" s="41"/>
      <c r="CL24" s="41"/>
      <c r="CM24" s="40"/>
      <c r="CN24" s="40"/>
      <c r="CO24" s="39"/>
      <c r="CP24" s="84"/>
      <c r="CQ24" s="83"/>
      <c r="CR24" s="4"/>
      <c r="CS24" s="58"/>
      <c r="CT24" s="4"/>
      <c r="CU24" s="4"/>
      <c r="CV24" s="2"/>
      <c r="CW24" s="4"/>
      <c r="CY24" s="4"/>
      <c r="CZ24" s="4"/>
      <c r="DA24" s="4"/>
      <c r="DB24" s="4"/>
      <c r="DD24" s="4"/>
      <c r="DE24" s="2"/>
      <c r="DI24" s="2"/>
      <c r="DJ24" s="2"/>
      <c r="DK24" s="2"/>
      <c r="DO24" s="2"/>
      <c r="DP24" s="4"/>
      <c r="DR24" s="48"/>
    </row>
    <row r="25" spans="1:122" x14ac:dyDescent="0.25">
      <c r="A25" s="82" t="s">
        <v>93</v>
      </c>
      <c r="B25" s="73"/>
      <c r="C25" s="73">
        <v>-1000</v>
      </c>
      <c r="D25" s="73"/>
      <c r="E25" s="79"/>
      <c r="F25" s="3"/>
      <c r="I25" s="27"/>
      <c r="J25" s="2"/>
      <c r="L25" s="13" t="s">
        <v>12</v>
      </c>
      <c r="M25" s="68"/>
      <c r="N25" s="4">
        <f>952*1.0203</f>
        <v>971.32560000000001</v>
      </c>
      <c r="O25" s="4">
        <v>3000</v>
      </c>
      <c r="P25" s="68">
        <f>806.108818303748*1.0362*1.006*1.0089*1.0057*1.0276*1.0091*1.0182*1.0155*1.0184*1.0123*1.0203</f>
        <v>961.56500487866731</v>
      </c>
      <c r="Q25" s="68"/>
      <c r="R25" s="68">
        <v>6586</v>
      </c>
      <c r="S25" s="68"/>
      <c r="T25" s="68"/>
      <c r="U25" s="4"/>
      <c r="V25" s="68">
        <f>1200*1.0057*1.0276*1.0091*1.0182*1.0155*1.0184*1.0123*1.0203</f>
        <v>1361.0576864480752</v>
      </c>
      <c r="W25" s="4">
        <f>(1680+720)*1.0276*1.0091*1.0182*1.0155*1.0184*1.0123*1.0203</f>
        <v>2706.6872555395744</v>
      </c>
      <c r="X25" s="4">
        <f>2244*1.0203</f>
        <v>2289.5531999999998</v>
      </c>
      <c r="Y25" s="176"/>
      <c r="Z25" s="4">
        <v>4470.833333333333</v>
      </c>
      <c r="AA25" s="68">
        <f>2400*1.0123*1.0203</f>
        <v>2478.8392559999998</v>
      </c>
      <c r="AB25" s="68"/>
      <c r="AC25" s="68">
        <v>3000</v>
      </c>
      <c r="AD25" s="177">
        <v>9963.0882352941171</v>
      </c>
      <c r="AE25" s="177">
        <v>2090</v>
      </c>
      <c r="AF25" s="177">
        <v>-334.47287508021691</v>
      </c>
      <c r="AG25" s="67">
        <f t="shared" si="0"/>
        <v>39544.476696413549</v>
      </c>
      <c r="AH25" s="3"/>
      <c r="AI25" s="3"/>
      <c r="AJ25" s="13" t="s">
        <v>12</v>
      </c>
      <c r="AK25" s="65">
        <v>0.16713422093539854</v>
      </c>
      <c r="AL25" s="65">
        <v>6.4415568916747754E-2</v>
      </c>
      <c r="AM25" s="65">
        <v>0.16896551724137931</v>
      </c>
      <c r="AN25" s="66">
        <v>7.2167687816114462E-2</v>
      </c>
      <c r="AO25" s="65">
        <v>6.0820358275020463E-2</v>
      </c>
      <c r="AP25" s="65">
        <v>0.14194676750464955</v>
      </c>
      <c r="AQ25" s="65">
        <v>0.1971</v>
      </c>
      <c r="AR25" s="65">
        <v>0.17883333333333332</v>
      </c>
      <c r="AS25" s="64"/>
      <c r="AT25" s="64"/>
      <c r="AU25" s="64"/>
      <c r="AV25" s="61">
        <f t="shared" si="1"/>
        <v>197181.78259039496</v>
      </c>
      <c r="AW25" s="61">
        <f t="shared" si="2"/>
        <v>11234.230620487737</v>
      </c>
      <c r="AX25" s="61">
        <f t="shared" si="3"/>
        <v>22534.348225374699</v>
      </c>
      <c r="AY25" s="61">
        <f t="shared" si="4"/>
        <v>5615.5855823942711</v>
      </c>
      <c r="AZ25" s="61">
        <f t="shared" si="5"/>
        <v>37861.901536353536</v>
      </c>
      <c r="BA25" s="61">
        <f t="shared" si="6"/>
        <v>32352.673411973436</v>
      </c>
      <c r="BB25" s="61">
        <f t="shared" si="7"/>
        <v>7338.5799448350017</v>
      </c>
      <c r="BC25" s="12">
        <f t="shared" si="8"/>
        <v>314119.10191181366</v>
      </c>
      <c r="BG25" s="72" t="s">
        <v>12</v>
      </c>
      <c r="BH25" s="70">
        <f t="shared" si="9"/>
        <v>39544.476696413549</v>
      </c>
      <c r="BI25" s="70">
        <f>15000</f>
        <v>15000</v>
      </c>
      <c r="BJ25" s="70">
        <f t="shared" si="10"/>
        <v>38669.370000000003</v>
      </c>
      <c r="BK25" s="70"/>
      <c r="BL25" s="68"/>
      <c r="BM25" s="68">
        <f>303*1.006*1.0089*1.0057*1.0276*1.0091*1.0182*1.0155*1.0184*1.0123*1.0203</f>
        <v>348.80605693029332</v>
      </c>
      <c r="BN25" s="68">
        <f>645*1.0276*1.0091*1.0182*1.0155*1.0184*1.0123*1.0203</f>
        <v>727.42219992626053</v>
      </c>
      <c r="BO25" s="70">
        <f t="shared" si="11"/>
        <v>314119.10191181366</v>
      </c>
      <c r="BP25" s="70"/>
      <c r="BQ25" s="63">
        <f t="shared" si="12"/>
        <v>408409.17686508375</v>
      </c>
      <c r="BR25" s="62">
        <f t="shared" si="13"/>
        <v>0.12878280809115114</v>
      </c>
      <c r="BS25" s="71"/>
      <c r="BT25" s="70"/>
      <c r="BU25" s="70">
        <v>11151.709115757418</v>
      </c>
      <c r="BV25" s="69"/>
      <c r="BW25" s="41"/>
      <c r="BX25" s="41"/>
      <c r="BY25" s="43"/>
      <c r="BZ25" s="42"/>
      <c r="CA25" s="31"/>
      <c r="CB25" s="31"/>
      <c r="CC25" s="4"/>
      <c r="CE25" s="49"/>
      <c r="CF25" s="49"/>
      <c r="CG25" s="37"/>
      <c r="CH25" s="49"/>
      <c r="CI25" s="41"/>
      <c r="CJ25" s="41"/>
      <c r="CK25" s="41"/>
      <c r="CL25" s="41"/>
      <c r="CM25" s="40"/>
      <c r="CN25" s="40"/>
      <c r="CO25" s="39"/>
      <c r="CP25" s="84"/>
      <c r="CQ25" s="83"/>
      <c r="CR25" s="4"/>
      <c r="CS25" s="53"/>
      <c r="CT25" s="4"/>
      <c r="CU25" s="4"/>
      <c r="CV25" s="2"/>
      <c r="CW25" s="4"/>
      <c r="CY25" s="4"/>
      <c r="CZ25" s="4"/>
      <c r="DA25" s="4"/>
      <c r="DB25" s="4"/>
      <c r="DD25" s="4"/>
      <c r="DE25" s="2"/>
      <c r="DI25" s="2"/>
      <c r="DJ25" s="2"/>
      <c r="DK25" s="2"/>
      <c r="DO25" s="2"/>
      <c r="DP25" s="4"/>
      <c r="DR25" s="48"/>
    </row>
    <row r="26" spans="1:122" x14ac:dyDescent="0.25">
      <c r="A26" s="82" t="s">
        <v>147</v>
      </c>
      <c r="B26" s="73"/>
      <c r="C26" s="73">
        <v>-5000</v>
      </c>
      <c r="D26" s="73"/>
      <c r="E26" s="79"/>
      <c r="F26" s="3"/>
      <c r="I26" s="27"/>
      <c r="J26" s="2"/>
      <c r="L26" s="13" t="s">
        <v>13</v>
      </c>
      <c r="M26" s="68"/>
      <c r="N26" s="4"/>
      <c r="O26" s="4"/>
      <c r="P26" s="68">
        <f>1083.20872459566*1.0362*1.006*1.0089*1.0057*1.0276*1.0091*1.0182*1.0155*1.0184*1.0123*1.0203</f>
        <v>1292.1029753057078</v>
      </c>
      <c r="Q26" s="68"/>
      <c r="R26" s="68"/>
      <c r="S26" s="68"/>
      <c r="T26" s="68"/>
      <c r="U26" s="4"/>
      <c r="V26" s="68"/>
      <c r="W26" s="4"/>
      <c r="X26" s="4"/>
      <c r="Y26" s="176"/>
      <c r="Z26" s="4">
        <v>951.66666666666663</v>
      </c>
      <c r="AA26" s="68">
        <f t="shared" ref="AA26:AA34" si="15">1600*1.0123*1.0203</f>
        <v>1652.5595040000001</v>
      </c>
      <c r="AB26" s="68"/>
      <c r="AC26" s="68"/>
      <c r="AD26" s="177">
        <v>2015.5882352941178</v>
      </c>
      <c r="AE26" s="177">
        <v>310</v>
      </c>
      <c r="AF26" s="177">
        <v>254.36030659844982</v>
      </c>
      <c r="AG26" s="67">
        <f t="shared" si="0"/>
        <v>6476.277687864942</v>
      </c>
      <c r="AH26" s="3"/>
      <c r="AI26" s="3"/>
      <c r="AJ26" s="13" t="s">
        <v>13</v>
      </c>
      <c r="AK26" s="65">
        <v>2.7514849438206642E-2</v>
      </c>
      <c r="AL26" s="65">
        <v>4.8594236111375873E-2</v>
      </c>
      <c r="AM26" s="65">
        <v>5.5172413793103448E-2</v>
      </c>
      <c r="AN26" s="66">
        <v>2.687122043915826E-2</v>
      </c>
      <c r="AO26" s="65">
        <v>6.5189636886731697E-2</v>
      </c>
      <c r="AP26" s="65">
        <v>5.0741242623589887E-2</v>
      </c>
      <c r="AQ26" s="65">
        <v>4.7500000000000001E-2</v>
      </c>
      <c r="AR26" s="65">
        <v>3.8066666666666665E-2</v>
      </c>
      <c r="AS26" s="64"/>
      <c r="AT26" s="64"/>
      <c r="AU26" s="64"/>
      <c r="AV26" s="61">
        <f t="shared" ref="AV26:AV34" si="16">SUM(AK26*$AO$39)</f>
        <v>32461.497289827756</v>
      </c>
      <c r="AW26" s="61">
        <f t="shared" ref="AW26:AW34" si="17">SUM(AL26*$AO$41)</f>
        <v>8474.9520105487009</v>
      </c>
      <c r="AX26" s="61">
        <f t="shared" ref="AX26:AX34" si="18">SUM(AM26*$AO$42)</f>
        <v>7358.1545225713307</v>
      </c>
      <c r="AY26" s="61">
        <f t="shared" ref="AY26:AY34" si="19">SUM(AO26*$AO$44)</f>
        <v>6019.0040868766182</v>
      </c>
      <c r="AZ26" s="61">
        <f t="shared" ref="AZ26:AZ34" si="20">SUM(AP26*$AO$45)</f>
        <v>13534.369016072569</v>
      </c>
      <c r="BA26" s="61">
        <f t="shared" ref="BA26:BA34" si="21">SUM(AQ26*$AO$46)</f>
        <v>7796.8137344938523</v>
      </c>
      <c r="BB26" s="61">
        <f t="shared" ref="BB26:BB34" si="22">SUM(AR26*$AO$47)</f>
        <v>1562.0984710161365</v>
      </c>
      <c r="BC26" s="12">
        <f t="shared" si="8"/>
        <v>77206.889131406977</v>
      </c>
      <c r="BG26" s="72" t="s">
        <v>13</v>
      </c>
      <c r="BH26" s="70">
        <f t="shared" si="9"/>
        <v>6476.277687864942</v>
      </c>
      <c r="BI26" s="70"/>
      <c r="BJ26" s="70">
        <f t="shared" ref="BJ26:BJ34" si="23">$B$36</f>
        <v>38669.370000000003</v>
      </c>
      <c r="BK26" s="70"/>
      <c r="BL26" s="68">
        <f>-1493*1.0276*1.0091*1.0182*1.0155*1.0184*1.0123*1.0203</f>
        <v>-1683.7850302169099</v>
      </c>
      <c r="BM26" s="68">
        <f>-649*1.006*1.0089*1.0057*1.0276*1.0091*1.0182*1.0155*1.0184*1.0123*1.0203</f>
        <v>-747.11264339194872</v>
      </c>
      <c r="BN26" s="68">
        <f>-872*1.0276*1.0091*1.0182*1.0155*1.0184*1.0123*1.0203</f>
        <v>-983.42970284604542</v>
      </c>
      <c r="BO26" s="70">
        <f t="shared" si="11"/>
        <v>77206.889131406977</v>
      </c>
      <c r="BP26" s="70"/>
      <c r="BQ26" s="63">
        <f t="shared" si="12"/>
        <v>118938.20944281702</v>
      </c>
      <c r="BR26" s="62">
        <f t="shared" ref="BR26:BR35" si="24">BQ26/$BQ$35</f>
        <v>3.7504535816146503E-2</v>
      </c>
      <c r="BS26" s="71"/>
      <c r="BT26" s="70"/>
      <c r="BU26" s="70">
        <v>3412.1941935156574</v>
      </c>
      <c r="BV26" s="69"/>
      <c r="BW26" s="41"/>
      <c r="BX26" s="41"/>
      <c r="BY26" s="43"/>
      <c r="BZ26" s="42"/>
      <c r="CA26" s="31"/>
      <c r="CB26" s="31"/>
      <c r="CC26" s="4"/>
      <c r="CE26" s="49"/>
      <c r="CF26" s="49"/>
      <c r="CG26" s="37"/>
      <c r="CH26" s="49"/>
      <c r="CI26" s="41"/>
      <c r="CJ26" s="41"/>
      <c r="CK26" s="41"/>
      <c r="CL26" s="41"/>
      <c r="CM26" s="40"/>
      <c r="CN26" s="40"/>
      <c r="CO26" s="39"/>
      <c r="CP26" s="38"/>
      <c r="CQ26" s="37"/>
      <c r="CR26" s="4"/>
      <c r="CS26" s="53"/>
      <c r="CT26" s="4"/>
      <c r="CU26" s="4"/>
      <c r="CV26" s="2"/>
      <c r="CW26" s="4"/>
      <c r="CY26" s="4"/>
      <c r="CZ26" s="4"/>
      <c r="DA26" s="4"/>
      <c r="DB26" s="4"/>
      <c r="DD26" s="4"/>
      <c r="DE26" s="2"/>
      <c r="DI26" s="2"/>
      <c r="DJ26" s="2"/>
      <c r="DK26" s="2"/>
      <c r="DO26" s="2"/>
      <c r="DP26" s="4"/>
      <c r="DR26" s="48"/>
    </row>
    <row r="27" spans="1:122" x14ac:dyDescent="0.25">
      <c r="A27" s="82" t="s">
        <v>63</v>
      </c>
      <c r="B27" s="73"/>
      <c r="C27" s="81">
        <f>SUM(C17:C26)</f>
        <v>2051793.0880246977</v>
      </c>
      <c r="D27" s="73"/>
      <c r="E27" s="79"/>
      <c r="F27" s="3"/>
      <c r="I27" s="27"/>
      <c r="J27" s="2"/>
      <c r="L27" s="13" t="s">
        <v>14</v>
      </c>
      <c r="M27" s="68"/>
      <c r="N27" s="4"/>
      <c r="O27" s="4"/>
      <c r="P27" s="68">
        <f>1083.20872459566*1.0362*1.006*1.0089*1.0057*1.0276*1.0091*1.0182*1.0155*1.0184*1.0123*1.0203</f>
        <v>1292.1029753057078</v>
      </c>
      <c r="Q27" s="68"/>
      <c r="R27" s="68"/>
      <c r="S27" s="68">
        <f>(700*1.006*1.0089*1.0057*1.0276*1.0091*1.0182*1.0155)+200*1.0155*1.0184*1.0123*1.0203</f>
        <v>979.72884331471334</v>
      </c>
      <c r="T27" s="68"/>
      <c r="U27" s="4"/>
      <c r="V27" s="68"/>
      <c r="W27" s="4"/>
      <c r="X27" s="4"/>
      <c r="Y27" s="176"/>
      <c r="Z27" s="4">
        <v>751.66666666666674</v>
      </c>
      <c r="AA27" s="68">
        <f t="shared" si="15"/>
        <v>1652.5595040000001</v>
      </c>
      <c r="AB27" s="68">
        <f>8800*1.0123*1.0203</f>
        <v>9089.0772720000004</v>
      </c>
      <c r="AC27" s="68"/>
      <c r="AD27" s="177">
        <v>1598.2352941176471</v>
      </c>
      <c r="AE27" s="177">
        <v>360</v>
      </c>
      <c r="AF27" s="177">
        <v>362.01723022566148</v>
      </c>
      <c r="AG27" s="67">
        <f t="shared" si="0"/>
        <v>16085.387785630395</v>
      </c>
      <c r="AH27" s="3"/>
      <c r="AI27" s="3"/>
      <c r="AJ27" s="13" t="s">
        <v>14</v>
      </c>
      <c r="AK27" s="65">
        <v>2.954511575303868E-2</v>
      </c>
      <c r="AL27" s="65">
        <v>2.1467644790342348E-2</v>
      </c>
      <c r="AM27" s="65">
        <v>4.1379310344827586E-2</v>
      </c>
      <c r="AN27" s="66">
        <v>2.2093875704667101E-2</v>
      </c>
      <c r="AO27" s="65">
        <v>3.6659121407979646E-2</v>
      </c>
      <c r="AP27" s="65">
        <v>4.0375112712952424E-2</v>
      </c>
      <c r="AQ27" s="65">
        <v>3.04E-2</v>
      </c>
      <c r="AR27" s="65">
        <v>3.0066666666666669E-2</v>
      </c>
      <c r="AS27" s="64"/>
      <c r="AT27" s="64"/>
      <c r="AU27" s="64"/>
      <c r="AV27" s="61">
        <f t="shared" si="16"/>
        <v>34856.766965010262</v>
      </c>
      <c r="AW27" s="61">
        <f t="shared" si="17"/>
        <v>3744.0090417444767</v>
      </c>
      <c r="AX27" s="61">
        <f t="shared" si="18"/>
        <v>5518.6158919284981</v>
      </c>
      <c r="AY27" s="61">
        <f t="shared" si="19"/>
        <v>3384.7619363077883</v>
      </c>
      <c r="AZ27" s="61">
        <f t="shared" si="20"/>
        <v>10769.379035045005</v>
      </c>
      <c r="BA27" s="61">
        <f t="shared" si="21"/>
        <v>4989.9607900760648</v>
      </c>
      <c r="BB27" s="61">
        <f t="shared" si="22"/>
        <v>1233.8115769321851</v>
      </c>
      <c r="BC27" s="12">
        <f t="shared" si="8"/>
        <v>64497.305237044289</v>
      </c>
      <c r="BG27" s="72" t="s">
        <v>14</v>
      </c>
      <c r="BH27" s="70">
        <f t="shared" si="9"/>
        <v>16085.387785630395</v>
      </c>
      <c r="BI27" s="70"/>
      <c r="BJ27" s="70">
        <f t="shared" si="23"/>
        <v>38669.370000000003</v>
      </c>
      <c r="BK27" s="70">
        <v>1400</v>
      </c>
      <c r="BL27" s="68">
        <f>1493*1.0276*1.0091*1.0182*1.0155*1.0184*1.0123*1.0203</f>
        <v>1683.7850302169099</v>
      </c>
      <c r="BM27" s="68">
        <f>-147*1.006*1.0089*1.0057*1.0276*1.0091*1.0182*1.0155*1.0184*1.0123*1.0203</f>
        <v>-169.2227404909344</v>
      </c>
      <c r="BN27" s="68">
        <f>-601*1.0276*1.0091*1.0182*1.0155*1.0184*1.0123*1.0203</f>
        <v>-677.79960024136824</v>
      </c>
      <c r="BO27" s="70">
        <f t="shared" si="11"/>
        <v>64497.305237044289</v>
      </c>
      <c r="BP27" s="70"/>
      <c r="BQ27" s="63">
        <f t="shared" si="12"/>
        <v>121488.82571215929</v>
      </c>
      <c r="BR27" s="62">
        <f t="shared" si="24"/>
        <v>3.8308816288123715E-2</v>
      </c>
      <c r="BS27" s="71"/>
      <c r="BT27" s="70"/>
      <c r="BU27" s="70">
        <v>3450.6362750565795</v>
      </c>
      <c r="BV27" s="69"/>
      <c r="BW27" s="41"/>
      <c r="BX27" s="41"/>
      <c r="BY27" s="43"/>
      <c r="BZ27" s="42"/>
      <c r="CA27" s="31"/>
      <c r="CB27" s="31"/>
      <c r="CC27" s="4"/>
      <c r="CE27" s="49"/>
      <c r="CF27" s="49"/>
      <c r="CG27" s="37"/>
      <c r="CH27" s="49"/>
      <c r="CI27" s="41"/>
      <c r="CJ27" s="41"/>
      <c r="CK27" s="41"/>
      <c r="CL27" s="41"/>
      <c r="CM27" s="40"/>
      <c r="CN27" s="40"/>
      <c r="CO27" s="39"/>
      <c r="CP27" s="38"/>
      <c r="CQ27" s="37"/>
      <c r="CR27" s="4"/>
      <c r="CS27" s="58"/>
      <c r="CT27" s="4"/>
      <c r="CU27" s="4"/>
      <c r="CV27" s="2"/>
      <c r="CW27" s="4"/>
      <c r="CY27" s="4"/>
      <c r="CZ27" s="4"/>
      <c r="DA27" s="4"/>
      <c r="DB27" s="4"/>
      <c r="DD27" s="4"/>
      <c r="DE27" s="2"/>
      <c r="DI27" s="2"/>
      <c r="DJ27" s="2"/>
      <c r="DK27" s="2"/>
      <c r="DO27" s="2"/>
      <c r="DP27" s="4"/>
      <c r="DR27" s="48"/>
    </row>
    <row r="28" spans="1:122" x14ac:dyDescent="0.25">
      <c r="A28" s="82"/>
      <c r="B28" s="73"/>
      <c r="C28" s="73"/>
      <c r="D28" s="73"/>
      <c r="E28" s="79"/>
      <c r="F28" s="3"/>
      <c r="I28" s="27"/>
      <c r="J28" s="2"/>
      <c r="L28" s="13" t="s">
        <v>15</v>
      </c>
      <c r="M28" s="68"/>
      <c r="N28" s="4"/>
      <c r="O28" s="4"/>
      <c r="P28" s="68">
        <f>806.108818303748*1.0362*1.006*1.0089*1.0057*1.0276*1.0091*1.0182*1.0155*1.0184*1.0123*1.0203</f>
        <v>961.56500487866731</v>
      </c>
      <c r="Q28" s="68"/>
      <c r="R28" s="68"/>
      <c r="S28" s="68"/>
      <c r="T28" s="68"/>
      <c r="U28" s="4"/>
      <c r="V28" s="68"/>
      <c r="W28" s="4"/>
      <c r="X28" s="4"/>
      <c r="Y28" s="176"/>
      <c r="Z28" s="4">
        <v>581.66666666666674</v>
      </c>
      <c r="AA28" s="68">
        <f t="shared" si="15"/>
        <v>1652.5595040000001</v>
      </c>
      <c r="AB28" s="68"/>
      <c r="AC28" s="68"/>
      <c r="AD28" s="177">
        <v>930.14705882352939</v>
      </c>
      <c r="AE28" s="3">
        <v>280</v>
      </c>
      <c r="AF28" s="177">
        <v>108.19322922821448</v>
      </c>
      <c r="AG28" s="67">
        <f t="shared" si="0"/>
        <v>4514.1314635970784</v>
      </c>
      <c r="AH28" s="3"/>
      <c r="AI28" s="3"/>
      <c r="AJ28" s="13" t="s">
        <v>15</v>
      </c>
      <c r="AK28" s="65">
        <v>2.6776544119192371E-2</v>
      </c>
      <c r="AL28" s="65">
        <v>1.2747591656092809E-2</v>
      </c>
      <c r="AM28" s="65">
        <v>3.4482758620689655E-2</v>
      </c>
      <c r="AN28" s="66">
        <v>2.1039722957880997E-2</v>
      </c>
      <c r="AO28" s="65">
        <v>2.976352590297697E-2</v>
      </c>
      <c r="AP28" s="65">
        <v>2.889600001379913E-2</v>
      </c>
      <c r="AQ28" s="65">
        <v>2.18E-2</v>
      </c>
      <c r="AR28" s="65">
        <v>2.3266666666666668E-2</v>
      </c>
      <c r="AS28" s="64"/>
      <c r="AT28" s="64"/>
      <c r="AU28" s="64"/>
      <c r="AV28" s="61">
        <f t="shared" si="16"/>
        <v>31590.458683344681</v>
      </c>
      <c r="AW28" s="61">
        <f t="shared" si="17"/>
        <v>2223.2107381592655</v>
      </c>
      <c r="AX28" s="61">
        <f t="shared" si="18"/>
        <v>4598.8465766070813</v>
      </c>
      <c r="AY28" s="61">
        <f t="shared" si="19"/>
        <v>2748.0868525337487</v>
      </c>
      <c r="AZ28" s="61">
        <f t="shared" si="20"/>
        <v>7707.5197029837018</v>
      </c>
      <c r="BA28" s="61">
        <f t="shared" si="21"/>
        <v>3578.327145515073</v>
      </c>
      <c r="BB28" s="61">
        <f t="shared" si="22"/>
        <v>954.76771696082608</v>
      </c>
      <c r="BC28" s="12">
        <f t="shared" si="8"/>
        <v>53401.21741610438</v>
      </c>
      <c r="BG28" s="72" t="s">
        <v>15</v>
      </c>
      <c r="BH28" s="70">
        <f t="shared" si="9"/>
        <v>4514.1314635970784</v>
      </c>
      <c r="BI28" s="70"/>
      <c r="BJ28" s="70">
        <f t="shared" si="23"/>
        <v>38669.370000000003</v>
      </c>
      <c r="BK28" s="70">
        <v>30000</v>
      </c>
      <c r="BL28" s="68">
        <f>-1248*1.0276*1.0091*1.0182*1.0155*1.0184*1.0123*1.0203</f>
        <v>-1407.4773728805783</v>
      </c>
      <c r="BM28" s="68">
        <f>-222*1.006*1.0089*1.0057*1.0276*1.0091*1.0182*1.0155*1.0184*1.0123*1.0203</f>
        <v>-255.56087339447234</v>
      </c>
      <c r="BN28" s="68">
        <f>-382*1.0276*1.0091*1.0182*1.0155*1.0184*1.0123*1.0203</f>
        <v>-430.81438817338216</v>
      </c>
      <c r="BO28" s="70">
        <f t="shared" si="11"/>
        <v>53401.21741610438</v>
      </c>
      <c r="BP28" s="70"/>
      <c r="BQ28" s="63">
        <f t="shared" si="12"/>
        <v>124490.86624525304</v>
      </c>
      <c r="BR28" s="62">
        <f t="shared" si="24"/>
        <v>3.9255443425209285E-2</v>
      </c>
      <c r="BS28" s="71"/>
      <c r="BT28" s="70"/>
      <c r="BU28" s="70">
        <v>3648.0048847263301</v>
      </c>
      <c r="BV28" s="69"/>
      <c r="BW28" s="41"/>
      <c r="BX28" s="41"/>
      <c r="BY28" s="43"/>
      <c r="BZ28" s="42"/>
      <c r="CA28" s="31"/>
      <c r="CB28" s="31"/>
      <c r="CC28" s="4"/>
      <c r="CE28" s="49"/>
      <c r="CF28" s="49"/>
      <c r="CG28" s="37"/>
      <c r="CH28" s="49"/>
      <c r="CI28" s="41"/>
      <c r="CJ28" s="41"/>
      <c r="CK28" s="41"/>
      <c r="CL28" s="41"/>
      <c r="CM28" s="40"/>
      <c r="CN28" s="40"/>
      <c r="CO28" s="39"/>
      <c r="CP28" s="38"/>
      <c r="CQ28" s="37"/>
      <c r="CR28" s="4"/>
      <c r="CS28" s="58"/>
      <c r="CT28" s="4"/>
      <c r="CU28" s="4"/>
      <c r="CV28" s="2"/>
      <c r="CW28" s="4"/>
      <c r="CY28" s="4"/>
      <c r="CZ28" s="4"/>
      <c r="DA28" s="4"/>
      <c r="DB28" s="4"/>
      <c r="DD28" s="4"/>
      <c r="DE28" s="2"/>
      <c r="DI28" s="2"/>
      <c r="DJ28" s="2"/>
      <c r="DK28" s="2"/>
      <c r="DO28" s="2"/>
      <c r="DP28" s="4"/>
      <c r="DR28" s="48"/>
    </row>
    <row r="29" spans="1:122" x14ac:dyDescent="0.25">
      <c r="A29" s="82"/>
      <c r="B29" s="73"/>
      <c r="C29" s="81"/>
      <c r="D29" s="80"/>
      <c r="E29" s="79"/>
      <c r="I29" s="27"/>
      <c r="J29" s="2"/>
      <c r="L29" s="13" t="s">
        <v>16</v>
      </c>
      <c r="M29" s="68"/>
      <c r="N29" s="4"/>
      <c r="O29" s="4"/>
      <c r="P29" s="68">
        <f t="shared" ref="P29:P34" si="25">1083.20872459566*1.0362*1.006*1.0089*1.0057*1.0276*1.0091*1.0182*1.0155*1.0184*1.0123*1.0203</f>
        <v>1292.1029753057078</v>
      </c>
      <c r="Q29" s="68"/>
      <c r="R29" s="68"/>
      <c r="S29" s="68"/>
      <c r="T29" s="68"/>
      <c r="U29" s="4"/>
      <c r="V29" s="68"/>
      <c r="W29" s="4"/>
      <c r="X29" s="4"/>
      <c r="Y29" s="176"/>
      <c r="Z29" s="4">
        <v>980</v>
      </c>
      <c r="AA29" s="68">
        <f t="shared" si="15"/>
        <v>1652.5595040000001</v>
      </c>
      <c r="AB29" s="68"/>
      <c r="AC29" s="68"/>
      <c r="AD29" s="177">
        <v>1638.6764705882354</v>
      </c>
      <c r="AE29" s="177">
        <v>240</v>
      </c>
      <c r="AF29" s="177">
        <v>-207.41537513968797</v>
      </c>
      <c r="AG29" s="67">
        <f t="shared" si="0"/>
        <v>5595.9235747542552</v>
      </c>
      <c r="AH29" s="3"/>
      <c r="AI29" s="3"/>
      <c r="AJ29" s="13" t="s">
        <v>16</v>
      </c>
      <c r="AK29" s="65">
        <v>2.8072903862442371E-2</v>
      </c>
      <c r="AL29" s="65">
        <v>6.7393110191592026E-2</v>
      </c>
      <c r="AM29" s="65">
        <v>5.1724137931034482E-2</v>
      </c>
      <c r="AN29" s="66">
        <v>5.7377697999052582E-2</v>
      </c>
      <c r="AO29" s="65">
        <v>6.8016560148508876E-2</v>
      </c>
      <c r="AP29" s="65">
        <v>3.8498973952404418E-2</v>
      </c>
      <c r="AQ29" s="65">
        <v>3.1399999999999997E-2</v>
      </c>
      <c r="AR29" s="65">
        <v>3.9199999999999999E-2</v>
      </c>
      <c r="AS29" s="64"/>
      <c r="AT29" s="64"/>
      <c r="AU29" s="64"/>
      <c r="AV29" s="61">
        <f t="shared" si="16"/>
        <v>33119.87931080113</v>
      </c>
      <c r="AW29" s="61">
        <f t="shared" si="17"/>
        <v>11753.521002085603</v>
      </c>
      <c r="AX29" s="61">
        <f t="shared" si="18"/>
        <v>6898.2698649106223</v>
      </c>
      <c r="AY29" s="61">
        <f t="shared" si="19"/>
        <v>6280.0158592766975</v>
      </c>
      <c r="AZ29" s="61">
        <f t="shared" si="20"/>
        <v>10268.950724706216</v>
      </c>
      <c r="BA29" s="61">
        <f t="shared" si="21"/>
        <v>5154.1042371180401</v>
      </c>
      <c r="BB29" s="61">
        <f t="shared" si="22"/>
        <v>1608.605781011363</v>
      </c>
      <c r="BC29" s="12">
        <f t="shared" si="8"/>
        <v>75083.346779909669</v>
      </c>
      <c r="BG29" s="72" t="s">
        <v>16</v>
      </c>
      <c r="BH29" s="70">
        <f t="shared" si="9"/>
        <v>5595.9235747542552</v>
      </c>
      <c r="BI29" s="70"/>
      <c r="BJ29" s="70">
        <f t="shared" si="23"/>
        <v>38669.370000000003</v>
      </c>
      <c r="BK29" s="70"/>
      <c r="BL29" s="68">
        <f>1269*1.0276*1.0091*1.0182*1.0155*1.0184*1.0123*1.0203</f>
        <v>1431.1608863665499</v>
      </c>
      <c r="BM29" s="68">
        <f>826*1.006*1.0089*1.0057*1.0276*1.0091*1.0182*1.0155*1.0184*1.0123*1.0203</f>
        <v>950.87063704429818</v>
      </c>
      <c r="BN29" s="68">
        <f>1952*1.0276*1.0091*1.0182*1.0155*1.0184*1.0123*1.0203</f>
        <v>2201.4389678388534</v>
      </c>
      <c r="BO29" s="70">
        <f t="shared" si="11"/>
        <v>75083.346779909669</v>
      </c>
      <c r="BP29" s="70"/>
      <c r="BQ29" s="63">
        <f t="shared" si="12"/>
        <v>123932.11084591363</v>
      </c>
      <c r="BR29" s="62">
        <f t="shared" si="24"/>
        <v>3.9079252258508855E-2</v>
      </c>
      <c r="BS29" s="71"/>
      <c r="BT29" s="70"/>
      <c r="BU29" s="70">
        <v>3578.1506550413269</v>
      </c>
      <c r="BV29" s="69"/>
      <c r="BW29" s="41"/>
      <c r="BX29" s="41"/>
      <c r="BY29" s="43"/>
      <c r="BZ29" s="42"/>
      <c r="CA29" s="31"/>
      <c r="CB29" s="31"/>
      <c r="CC29" s="4"/>
      <c r="CE29" s="49"/>
      <c r="CF29" s="49"/>
      <c r="CG29" s="37"/>
      <c r="CH29" s="49"/>
      <c r="CI29" s="41"/>
      <c r="CJ29" s="41"/>
      <c r="CK29" s="41"/>
      <c r="CL29" s="41"/>
      <c r="CM29" s="40"/>
      <c r="CN29" s="40"/>
      <c r="CO29" s="39"/>
      <c r="CP29" s="38"/>
      <c r="CQ29" s="37"/>
      <c r="CR29" s="4"/>
      <c r="CS29" s="58"/>
      <c r="CT29" s="4"/>
      <c r="CU29" s="4"/>
      <c r="CV29" s="2"/>
      <c r="CW29" s="4"/>
      <c r="CY29" s="4"/>
      <c r="CZ29" s="4"/>
      <c r="DA29" s="4"/>
      <c r="DB29" s="4"/>
      <c r="DD29" s="4"/>
      <c r="DE29" s="2"/>
      <c r="DI29" s="2"/>
      <c r="DJ29" s="2"/>
      <c r="DK29" s="2"/>
      <c r="DO29" s="2"/>
      <c r="DP29" s="4"/>
      <c r="DR29" s="48"/>
    </row>
    <row r="30" spans="1:122" ht="16.5" thickBot="1" x14ac:dyDescent="0.3">
      <c r="A30" s="78" t="s">
        <v>62</v>
      </c>
      <c r="B30" s="77"/>
      <c r="C30" s="76">
        <f>C27*D30</f>
        <v>2051793.0880246977</v>
      </c>
      <c r="D30" s="75">
        <v>1</v>
      </c>
      <c r="E30" s="74"/>
      <c r="I30" s="27"/>
      <c r="J30" s="2"/>
      <c r="L30" s="13" t="s">
        <v>17</v>
      </c>
      <c r="M30" s="68"/>
      <c r="N30" s="4"/>
      <c r="O30" s="4"/>
      <c r="P30" s="68">
        <f t="shared" si="25"/>
        <v>1292.1029753057078</v>
      </c>
      <c r="Q30" s="68"/>
      <c r="R30" s="68"/>
      <c r="S30" s="68"/>
      <c r="T30" s="68"/>
      <c r="U30" s="4"/>
      <c r="V30" s="68">
        <f>700*1.0057*1.0276*1.0091*1.0182*1.0155*1.0184*1.0123*1.0203</f>
        <v>793.95031709471027</v>
      </c>
      <c r="W30" s="4">
        <f>840*1.0276*1.0091*1.0182*1.0155*1.0184*1.0123*1.0203</f>
        <v>947.3405394388509</v>
      </c>
      <c r="X30" s="4"/>
      <c r="Y30" s="176"/>
      <c r="Z30" s="4">
        <v>820.83333333333326</v>
      </c>
      <c r="AA30" s="68">
        <f t="shared" si="15"/>
        <v>1652.5595040000001</v>
      </c>
      <c r="AB30" s="68"/>
      <c r="AC30" s="68">
        <v>3000</v>
      </c>
      <c r="AD30" s="3">
        <v>1622.5</v>
      </c>
      <c r="AE30" s="177">
        <v>230</v>
      </c>
      <c r="AF30" s="177">
        <v>215.32793945995945</v>
      </c>
      <c r="AG30" s="67">
        <f t="shared" si="0"/>
        <v>10574.614608632561</v>
      </c>
      <c r="AH30" s="3"/>
      <c r="AI30" s="3"/>
      <c r="AJ30" s="13" t="s">
        <v>17</v>
      </c>
      <c r="AK30" s="65">
        <v>2.8009952899189994E-2</v>
      </c>
      <c r="AL30" s="65">
        <v>4.3894495425452151E-2</v>
      </c>
      <c r="AM30" s="65">
        <v>3.4482758620689655E-2</v>
      </c>
      <c r="AN30" s="66">
        <v>2.2952255663567345E-2</v>
      </c>
      <c r="AO30" s="65">
        <v>7.8035316005162753E-2</v>
      </c>
      <c r="AP30" s="65">
        <v>4.3035064110133567E-2</v>
      </c>
      <c r="AQ30" s="65">
        <v>3.4099999999999998E-2</v>
      </c>
      <c r="AR30" s="65">
        <v>3.2833333333333332E-2</v>
      </c>
      <c r="AS30" s="64"/>
      <c r="AT30" s="64"/>
      <c r="AU30" s="64"/>
      <c r="AV30" s="61">
        <f t="shared" si="16"/>
        <v>33045.610958811834</v>
      </c>
      <c r="AW30" s="61">
        <f t="shared" si="17"/>
        <v>7655.3058968833275</v>
      </c>
      <c r="AX30" s="61">
        <f t="shared" si="18"/>
        <v>4598.8465766070813</v>
      </c>
      <c r="AY30" s="61">
        <f t="shared" si="19"/>
        <v>7205.0544900547193</v>
      </c>
      <c r="AZ30" s="61">
        <f t="shared" si="20"/>
        <v>11478.876120903335</v>
      </c>
      <c r="BA30" s="61">
        <f t="shared" si="21"/>
        <v>5597.2915441313753</v>
      </c>
      <c r="BB30" s="61">
        <f t="shared" si="22"/>
        <v>1347.3441278028849</v>
      </c>
      <c r="BC30" s="12">
        <f t="shared" si="8"/>
        <v>70928.329715194559</v>
      </c>
      <c r="BG30" s="72" t="s">
        <v>17</v>
      </c>
      <c r="BH30" s="70">
        <f t="shared" si="9"/>
        <v>10574.614608632561</v>
      </c>
      <c r="BI30" s="70"/>
      <c r="BJ30" s="70">
        <f t="shared" si="23"/>
        <v>38669.370000000003</v>
      </c>
      <c r="BK30" s="70"/>
      <c r="BL30" s="68">
        <f>-1269*1.0276*1.0091*1.0182*1.0155*1.0184*1.0123*1.0203</f>
        <v>-1431.1608863665499</v>
      </c>
      <c r="BM30" s="68">
        <f>-279*1.006*1.0089*1.0057*1.0276*1.0091*1.0182*1.0155*1.0184*1.0123*1.0203</f>
        <v>-321.17785440116114</v>
      </c>
      <c r="BN30" s="68">
        <f>-479*1.0276*1.0091*1.0182*1.0155*1.0184*1.0123*1.0203</f>
        <v>-540.20966475143996</v>
      </c>
      <c r="BO30" s="70">
        <f t="shared" si="11"/>
        <v>70928.329715194559</v>
      </c>
      <c r="BP30" s="70"/>
      <c r="BQ30" s="63">
        <f t="shared" si="12"/>
        <v>117879.76591830797</v>
      </c>
      <c r="BR30" s="62">
        <f t="shared" si="24"/>
        <v>3.7170779042269703E-2</v>
      </c>
      <c r="BS30" s="71"/>
      <c r="BT30" s="70"/>
      <c r="BU30" s="70">
        <v>3356.4897216296167</v>
      </c>
      <c r="BV30" s="69"/>
      <c r="BW30" s="41"/>
      <c r="BX30" s="41"/>
      <c r="BY30" s="43"/>
      <c r="BZ30" s="42"/>
      <c r="CA30" s="31"/>
      <c r="CB30" s="31"/>
      <c r="CC30" s="4"/>
      <c r="CE30" s="49"/>
      <c r="CF30" s="49"/>
      <c r="CG30" s="37"/>
      <c r="CH30" s="49"/>
      <c r="CI30" s="41"/>
      <c r="CJ30" s="41"/>
      <c r="CK30" s="41"/>
      <c r="CL30" s="41"/>
      <c r="CM30" s="40"/>
      <c r="CN30" s="40"/>
      <c r="CO30" s="39"/>
      <c r="CP30" s="38"/>
      <c r="CQ30" s="37"/>
      <c r="CR30" s="4"/>
      <c r="CS30" s="58"/>
      <c r="CT30" s="4"/>
      <c r="CU30" s="4"/>
      <c r="CV30" s="2"/>
      <c r="CW30" s="4"/>
      <c r="CY30" s="4"/>
      <c r="CZ30" s="4"/>
      <c r="DA30" s="4"/>
      <c r="DB30" s="4"/>
      <c r="DD30" s="4"/>
      <c r="DE30" s="2"/>
      <c r="DI30" s="2"/>
      <c r="DJ30" s="2"/>
      <c r="DK30" s="2"/>
      <c r="DO30" s="2"/>
      <c r="DP30" s="4"/>
      <c r="DR30" s="48"/>
    </row>
    <row r="31" spans="1:122" x14ac:dyDescent="0.25">
      <c r="A31" s="73"/>
      <c r="B31" s="73"/>
      <c r="C31" s="73"/>
      <c r="D31" s="73"/>
      <c r="E31" s="73"/>
      <c r="I31" s="27"/>
      <c r="J31" s="2"/>
      <c r="L31" s="13" t="s">
        <v>18</v>
      </c>
      <c r="M31" s="68"/>
      <c r="N31" s="4"/>
      <c r="O31" s="4"/>
      <c r="P31" s="68">
        <f t="shared" si="25"/>
        <v>1292.1029753057078</v>
      </c>
      <c r="Q31" s="68"/>
      <c r="R31" s="68"/>
      <c r="S31" s="68"/>
      <c r="T31" s="68"/>
      <c r="U31" s="4"/>
      <c r="V31" s="68"/>
      <c r="W31" s="4">
        <f>1680*1.0276*1.0091*1.0182*1.0155*1.0184*1.0123*1.0203</f>
        <v>1894.6810788777018</v>
      </c>
      <c r="X31" s="4">
        <f>2808*1.0203</f>
        <v>2865.0023999999999</v>
      </c>
      <c r="Y31" s="176"/>
      <c r="Z31" s="4">
        <v>750</v>
      </c>
      <c r="AA31" s="68">
        <f t="shared" si="15"/>
        <v>1652.5595040000001</v>
      </c>
      <c r="AB31" s="68"/>
      <c r="AC31" s="68"/>
      <c r="AD31" s="177">
        <v>1135.5882352941176</v>
      </c>
      <c r="AE31" s="3">
        <v>260</v>
      </c>
      <c r="AF31" s="177">
        <v>173.12824581851601</v>
      </c>
      <c r="AG31" s="67">
        <f t="shared" si="0"/>
        <v>10023.062439296044</v>
      </c>
      <c r="AH31" s="3"/>
      <c r="AI31" s="3"/>
      <c r="AJ31" s="13" t="s">
        <v>18</v>
      </c>
      <c r="AK31" s="65">
        <v>2.3993016744076476E-2</v>
      </c>
      <c r="AL31" s="65">
        <v>5.1307781878266644E-2</v>
      </c>
      <c r="AM31" s="65">
        <v>2.4137931034482758E-2</v>
      </c>
      <c r="AN31" s="66">
        <v>2.1779868782484425E-2</v>
      </c>
      <c r="AO31" s="65">
        <v>0.10093033593052965</v>
      </c>
      <c r="AP31" s="65">
        <v>6.0171924507637961E-2</v>
      </c>
      <c r="AQ31" s="65">
        <v>2.7E-2</v>
      </c>
      <c r="AR31" s="65">
        <v>0.03</v>
      </c>
      <c r="AS31" s="64"/>
      <c r="AT31" s="64"/>
      <c r="AU31" s="64"/>
      <c r="AV31" s="61">
        <f t="shared" si="16"/>
        <v>28306.505901905246</v>
      </c>
      <c r="AW31" s="61">
        <f t="shared" si="17"/>
        <v>8948.2009386750397</v>
      </c>
      <c r="AX31" s="61">
        <f t="shared" si="18"/>
        <v>3219.192603624957</v>
      </c>
      <c r="AY31" s="61">
        <f t="shared" si="19"/>
        <v>9318.9674535422182</v>
      </c>
      <c r="AZ31" s="61">
        <f t="shared" si="20"/>
        <v>16049.844043729014</v>
      </c>
      <c r="BA31" s="61">
        <f t="shared" si="21"/>
        <v>4431.873070133347</v>
      </c>
      <c r="BB31" s="61">
        <f t="shared" si="22"/>
        <v>1231.0758528148187</v>
      </c>
      <c r="BC31" s="12">
        <f t="shared" si="8"/>
        <v>71505.659864424626</v>
      </c>
      <c r="BG31" s="72" t="s">
        <v>18</v>
      </c>
      <c r="BH31" s="70">
        <f t="shared" si="9"/>
        <v>10023.062439296044</v>
      </c>
      <c r="BI31" s="70"/>
      <c r="BJ31" s="70">
        <f t="shared" si="23"/>
        <v>38669.370000000003</v>
      </c>
      <c r="BK31" s="70">
        <v>400</v>
      </c>
      <c r="BL31" s="68">
        <f>1560*1.0276*1.0091*1.0182*1.0155*1.0184*1.0123*1.0203</f>
        <v>1759.3467161007231</v>
      </c>
      <c r="BM31" s="68">
        <f>210*1.006*1.0089*1.0057*1.0276*1.0091*1.0182*1.0155*1.0184*1.0123*1.0203</f>
        <v>241.74677212990628</v>
      </c>
      <c r="BN31" s="68">
        <f>512*1.0276*1.0091*1.0182*1.0155*1.0184*1.0123*1.0203</f>
        <v>577.42661451510924</v>
      </c>
      <c r="BO31" s="70">
        <f t="shared" si="11"/>
        <v>71505.659864424626</v>
      </c>
      <c r="BP31" s="70"/>
      <c r="BQ31" s="63">
        <f t="shared" si="12"/>
        <v>123176.61240646642</v>
      </c>
      <c r="BR31" s="62">
        <f t="shared" si="24"/>
        <v>3.8841022522127011E-2</v>
      </c>
      <c r="BS31" s="71"/>
      <c r="BT31" s="70"/>
      <c r="BU31" s="70">
        <v>3468.5318043063075</v>
      </c>
      <c r="BV31" s="69"/>
      <c r="BW31" s="41"/>
      <c r="BX31" s="41"/>
      <c r="BY31" s="43"/>
      <c r="BZ31" s="42"/>
      <c r="CA31" s="31"/>
      <c r="CB31" s="31"/>
      <c r="CC31" s="4"/>
      <c r="CE31" s="49"/>
      <c r="CF31" s="49"/>
      <c r="CG31" s="37"/>
      <c r="CH31" s="49"/>
      <c r="CI31" s="41"/>
      <c r="CJ31" s="41"/>
      <c r="CK31" s="41"/>
      <c r="CL31" s="41"/>
      <c r="CM31" s="40"/>
      <c r="CN31" s="40"/>
      <c r="CO31" s="39"/>
      <c r="CP31" s="38"/>
      <c r="CQ31" s="37"/>
      <c r="CR31" s="4"/>
      <c r="CS31" s="58"/>
      <c r="CT31" s="4"/>
      <c r="CU31" s="4"/>
      <c r="CV31" s="2"/>
      <c r="CW31" s="4"/>
      <c r="CY31" s="4"/>
      <c r="CZ31" s="4"/>
      <c r="DA31" s="4"/>
      <c r="DB31" s="4"/>
      <c r="DD31" s="4"/>
      <c r="DE31" s="2"/>
      <c r="DI31" s="2"/>
      <c r="DJ31" s="2"/>
      <c r="DK31" s="2"/>
      <c r="DO31" s="2"/>
      <c r="DP31" s="4"/>
      <c r="DR31" s="48"/>
    </row>
    <row r="32" spans="1:122" x14ac:dyDescent="0.25">
      <c r="A32" s="47" t="s">
        <v>61</v>
      </c>
      <c r="B32" s="47"/>
      <c r="C32" s="47"/>
      <c r="D32" s="47"/>
      <c r="E32" s="47"/>
      <c r="I32" s="27"/>
      <c r="J32" s="2"/>
      <c r="L32" s="13" t="s">
        <v>19</v>
      </c>
      <c r="M32" s="68">
        <f>3479.45516270874*1.0362*1.006*1.0089*1.0057*1.0276*1.0091*1.0182*1.0155*1.0184*1.0123*1.0203</f>
        <v>4150.4598939202269</v>
      </c>
      <c r="N32" s="4"/>
      <c r="O32" s="4"/>
      <c r="P32" s="68">
        <f t="shared" si="25"/>
        <v>1292.1029753057078</v>
      </c>
      <c r="Q32" s="68">
        <f>(2598*1.0089*1.0057*1.0276*1.0091*1.0182*1.0155*1.0184*1.0123*1.0203)+1000</f>
        <v>3972.9154311914067</v>
      </c>
      <c r="R32" s="68"/>
      <c r="S32" s="68"/>
      <c r="T32" s="68"/>
      <c r="U32" s="4"/>
      <c r="V32" s="68"/>
      <c r="W32" s="4"/>
      <c r="X32" s="4"/>
      <c r="Y32" s="176"/>
      <c r="Z32" s="4">
        <v>610.83333333333337</v>
      </c>
      <c r="AA32" s="68">
        <f t="shared" si="15"/>
        <v>1652.5595040000001</v>
      </c>
      <c r="AB32" s="68"/>
      <c r="AC32" s="68"/>
      <c r="AD32" s="177">
        <v>1386.3235294117646</v>
      </c>
      <c r="AE32" s="177">
        <v>150</v>
      </c>
      <c r="AF32" s="177">
        <v>-0.70811066208989359</v>
      </c>
      <c r="AG32" s="67">
        <f t="shared" si="0"/>
        <v>13214.486556500349</v>
      </c>
      <c r="AH32" s="3"/>
      <c r="AI32" s="3"/>
      <c r="AJ32" s="13" t="s">
        <v>19</v>
      </c>
      <c r="AK32" s="65">
        <v>1.2734862566023977E-2</v>
      </c>
      <c r="AL32" s="65">
        <v>0.11991735499819527</v>
      </c>
      <c r="AM32" s="65">
        <v>2.7586206896551724E-2</v>
      </c>
      <c r="AN32" s="66">
        <v>7.3230435498111271E-2</v>
      </c>
      <c r="AO32" s="65">
        <v>0.10477530110883554</v>
      </c>
      <c r="AP32" s="65">
        <v>2.377775432742562E-2</v>
      </c>
      <c r="AQ32" s="65">
        <v>2.6100000000000002E-2</v>
      </c>
      <c r="AR32" s="65">
        <v>2.4433333333333335E-2</v>
      </c>
      <c r="AS32" s="64"/>
      <c r="AT32" s="64"/>
      <c r="AU32" s="64"/>
      <c r="AV32" s="61">
        <f t="shared" si="16"/>
        <v>15024.349219199665</v>
      </c>
      <c r="AW32" s="61">
        <f t="shared" si="17"/>
        <v>20913.876010157586</v>
      </c>
      <c r="AX32" s="61">
        <f t="shared" si="18"/>
        <v>3679.0772612856654</v>
      </c>
      <c r="AY32" s="61">
        <f t="shared" si="19"/>
        <v>9673.975737486684</v>
      </c>
      <c r="AZ32" s="61">
        <f t="shared" si="20"/>
        <v>6342.3141571089609</v>
      </c>
      <c r="BA32" s="61">
        <f t="shared" si="21"/>
        <v>4284.1439677955696</v>
      </c>
      <c r="BB32" s="61">
        <f t="shared" si="22"/>
        <v>1002.6428890147357</v>
      </c>
      <c r="BC32" s="12">
        <f t="shared" si="8"/>
        <v>60920.379242048868</v>
      </c>
      <c r="BG32" s="72" t="s">
        <v>19</v>
      </c>
      <c r="BH32" s="70">
        <f t="shared" si="9"/>
        <v>13214.486556500349</v>
      </c>
      <c r="BI32" s="70"/>
      <c r="BJ32" s="70">
        <f t="shared" si="23"/>
        <v>38669.370000000003</v>
      </c>
      <c r="BK32" s="70"/>
      <c r="BL32" s="68">
        <f>-1560*1.0276*1.0091*1.0182*1.0155*1.0184*1.0123*1.0203</f>
        <v>-1759.3467161007231</v>
      </c>
      <c r="BM32" s="68">
        <f>-278*1.006*1.0089*1.0057*1.0276*1.0091*1.0182*1.0155*1.0184*1.0123*1.0203</f>
        <v>-320.0266792957807</v>
      </c>
      <c r="BN32" s="68">
        <f>-512*1.0276*1.0091*1.0182*1.0155*1.0184*1.0123*1.0203</f>
        <v>-577.42661451510924</v>
      </c>
      <c r="BO32" s="70">
        <f t="shared" si="11"/>
        <v>60920.379242048868</v>
      </c>
      <c r="BP32" s="70"/>
      <c r="BQ32" s="63">
        <f t="shared" si="12"/>
        <v>110147.43578863761</v>
      </c>
      <c r="BR32" s="184">
        <f t="shared" si="24"/>
        <v>3.4732559620193101E-2</v>
      </c>
      <c r="BS32" s="179"/>
      <c r="BT32" s="4"/>
      <c r="BU32" s="4">
        <v>3213.1499678295527</v>
      </c>
      <c r="BV32" s="182"/>
      <c r="BW32" s="41"/>
      <c r="BX32" s="41"/>
      <c r="BY32" s="43"/>
      <c r="BZ32" s="42"/>
      <c r="CA32" s="31"/>
      <c r="CB32" s="31"/>
      <c r="CC32" s="4"/>
      <c r="CE32" s="49"/>
      <c r="CF32" s="49"/>
      <c r="CG32" s="37"/>
      <c r="CH32" s="49"/>
      <c r="CI32" s="41"/>
      <c r="CJ32" s="41"/>
      <c r="CK32" s="41"/>
      <c r="CL32" s="41"/>
      <c r="CM32" s="40"/>
      <c r="CN32" s="40"/>
      <c r="CO32" s="39"/>
      <c r="CP32" s="38"/>
      <c r="CQ32" s="37"/>
      <c r="CR32" s="4"/>
      <c r="CS32" s="58"/>
      <c r="CT32" s="4"/>
      <c r="CU32" s="4"/>
      <c r="CV32" s="2"/>
      <c r="CW32" s="4"/>
      <c r="CY32" s="4"/>
      <c r="CZ32" s="4"/>
      <c r="DA32" s="4"/>
      <c r="DB32" s="4"/>
      <c r="DD32" s="4"/>
      <c r="DE32" s="2"/>
      <c r="DI32" s="2"/>
      <c r="DJ32" s="2"/>
      <c r="DK32" s="2"/>
      <c r="DO32" s="2"/>
      <c r="DP32" s="4"/>
      <c r="DR32" s="48"/>
    </row>
    <row r="33" spans="1:122" x14ac:dyDescent="0.25">
      <c r="A33" s="47" t="s">
        <v>60</v>
      </c>
      <c r="B33" s="47"/>
      <c r="C33" s="47"/>
      <c r="D33" s="47"/>
      <c r="E33" s="47"/>
      <c r="I33" s="27"/>
      <c r="J33" s="2"/>
      <c r="L33" s="13" t="s">
        <v>20</v>
      </c>
      <c r="M33" s="68">
        <f>3703.1569283764*1.0362*1.006*1.0089*1.0057*1.0276*1.0091*1.0182*1.0155*1.0184*1.0123*1.0203</f>
        <v>4417.3020180992207</v>
      </c>
      <c r="N33" s="4"/>
      <c r="O33" s="4"/>
      <c r="P33" s="68">
        <f t="shared" si="25"/>
        <v>1292.1029753057078</v>
      </c>
      <c r="Q33" s="68">
        <f>(1795*1.0089*1.0057*1.0276*1.0091*1.0182*1.0155*1.0184*1.0123*1.0203)+1300</f>
        <v>3354.035103536788</v>
      </c>
      <c r="R33" s="68"/>
      <c r="S33" s="68"/>
      <c r="T33" s="68"/>
      <c r="U33" s="4"/>
      <c r="V33" s="68"/>
      <c r="W33" s="4">
        <f>840*1.0276*1.0091*1.0182*1.0155*1.0184*1.0123*1.0203</f>
        <v>947.3405394388509</v>
      </c>
      <c r="X33" s="4"/>
      <c r="Y33" s="176"/>
      <c r="Z33" s="4">
        <v>785.00000000000011</v>
      </c>
      <c r="AA33" s="68">
        <f t="shared" si="15"/>
        <v>1652.5595040000001</v>
      </c>
      <c r="AB33" s="68"/>
      <c r="AC33" s="68"/>
      <c r="AD33" s="177">
        <v>1214.8529411764707</v>
      </c>
      <c r="AE33" s="177">
        <v>200</v>
      </c>
      <c r="AF33" s="177">
        <v>8.3297437936125789</v>
      </c>
      <c r="AG33" s="67">
        <f t="shared" si="0"/>
        <v>13871.52282535065</v>
      </c>
      <c r="AH33" s="3"/>
      <c r="AI33" s="3"/>
      <c r="AJ33" s="13" t="s">
        <v>20</v>
      </c>
      <c r="AK33" s="65">
        <v>2.6407538084599644E-2</v>
      </c>
      <c r="AL33" s="65">
        <v>0.13152952214552144</v>
      </c>
      <c r="AM33" s="65">
        <v>5.1724137931034482E-2</v>
      </c>
      <c r="AN33" s="66">
        <v>0.1293588930276045</v>
      </c>
      <c r="AO33" s="65">
        <v>0.10914457972054678</v>
      </c>
      <c r="AP33" s="65">
        <v>4.7525449778407544E-2</v>
      </c>
      <c r="AQ33" s="65">
        <v>2.9700000000000001E-2</v>
      </c>
      <c r="AR33" s="65">
        <v>3.1400000000000004E-2</v>
      </c>
      <c r="AS33" s="64"/>
      <c r="AT33" s="64"/>
      <c r="AU33" s="64"/>
      <c r="AV33" s="61">
        <f t="shared" si="16"/>
        <v>31155.112365395045</v>
      </c>
      <c r="AW33" s="61">
        <f t="shared" si="17"/>
        <v>22939.065974796646</v>
      </c>
      <c r="AX33" s="61">
        <f t="shared" si="18"/>
        <v>6898.2698649106223</v>
      </c>
      <c r="AY33" s="61">
        <f t="shared" si="19"/>
        <v>10077.39424196903</v>
      </c>
      <c r="AZ33" s="61">
        <f t="shared" si="20"/>
        <v>12676.610616878197</v>
      </c>
      <c r="BA33" s="61">
        <f t="shared" si="21"/>
        <v>4875.0603771466822</v>
      </c>
      <c r="BB33" s="61">
        <f t="shared" si="22"/>
        <v>1288.5260592795105</v>
      </c>
      <c r="BC33" s="12">
        <f t="shared" si="8"/>
        <v>89910.039500375744</v>
      </c>
      <c r="BD33" s="16"/>
      <c r="BG33" s="178" t="s">
        <v>20</v>
      </c>
      <c r="BH33" s="4">
        <f t="shared" si="9"/>
        <v>13871.52282535065</v>
      </c>
      <c r="BI33" s="4"/>
      <c r="BJ33" s="4">
        <f t="shared" si="23"/>
        <v>38669.370000000003</v>
      </c>
      <c r="BK33" s="4"/>
      <c r="BL33" s="4"/>
      <c r="BM33" s="4">
        <f>-143*1.006*1.0089*1.0057*1.0276*1.0091*1.0182*1.0155*1.0184*1.0123*1.0203</f>
        <v>-164.61804006941239</v>
      </c>
      <c r="BN33" s="4">
        <f>-607*1.0276*1.0091*1.0182*1.0155*1.0184*1.0123*1.0203</f>
        <v>-684.56631838021724</v>
      </c>
      <c r="BO33" s="4">
        <f t="shared" si="11"/>
        <v>89910.039500375744</v>
      </c>
      <c r="BP33" s="4"/>
      <c r="BQ33" s="147">
        <f t="shared" si="12"/>
        <v>141601.74796727678</v>
      </c>
      <c r="BR33" s="184">
        <f t="shared" si="24"/>
        <v>4.4650981826163769E-2</v>
      </c>
      <c r="BS33" s="179"/>
      <c r="BT33" s="4"/>
      <c r="BU33" s="4">
        <v>4080.8913338312404</v>
      </c>
      <c r="BV33" s="182"/>
      <c r="BW33" s="41"/>
      <c r="BX33" s="41"/>
      <c r="BY33" s="43"/>
      <c r="BZ33" s="42"/>
      <c r="CA33" s="31"/>
      <c r="CB33" s="31"/>
      <c r="CC33" s="4"/>
      <c r="CE33" s="49"/>
      <c r="CF33" s="49"/>
      <c r="CG33" s="37"/>
      <c r="CH33" s="49"/>
      <c r="CI33" s="41"/>
      <c r="CJ33" s="41"/>
      <c r="CK33" s="41"/>
      <c r="CL33" s="41"/>
      <c r="CM33" s="40"/>
      <c r="CN33" s="40"/>
      <c r="CO33" s="39"/>
      <c r="CP33" s="38"/>
      <c r="CQ33" s="37"/>
      <c r="CR33" s="4"/>
      <c r="CS33" s="53"/>
      <c r="CT33" s="4"/>
      <c r="CU33" s="4"/>
      <c r="CV33" s="2"/>
      <c r="CW33" s="4"/>
      <c r="CY33" s="4"/>
      <c r="CZ33" s="4"/>
      <c r="DA33" s="4"/>
      <c r="DB33" s="4"/>
      <c r="DD33" s="4"/>
      <c r="DE33" s="2"/>
      <c r="DI33" s="2"/>
      <c r="DJ33" s="2"/>
      <c r="DK33" s="2"/>
      <c r="DO33" s="2"/>
      <c r="DP33" s="4"/>
      <c r="DR33" s="48"/>
    </row>
    <row r="34" spans="1:122" x14ac:dyDescent="0.25">
      <c r="A34" s="47" t="s">
        <v>59</v>
      </c>
      <c r="B34" s="47"/>
      <c r="C34" s="47"/>
      <c r="D34" s="47"/>
      <c r="E34" s="47"/>
      <c r="I34" s="27"/>
      <c r="J34" s="2"/>
      <c r="L34" s="13" t="s">
        <v>21</v>
      </c>
      <c r="M34" s="68">
        <f>5374.09359118039*1.0362*1.006*1.0089*1.0057*1.0276*1.0091*1.0182*1.0155*1.0184*1.0123*1.0203</f>
        <v>6410.4748799244835</v>
      </c>
      <c r="N34" s="4"/>
      <c r="O34" s="4"/>
      <c r="P34" s="68">
        <f t="shared" si="25"/>
        <v>1292.1029753057078</v>
      </c>
      <c r="Q34" s="68">
        <f>(1207*1.0089*1.0057*1.0276*1.0091*1.0182*1.0155*1.0184*1.0123*1.0203)+1050</f>
        <v>2431.1812646066314</v>
      </c>
      <c r="R34" s="68"/>
      <c r="S34" s="68"/>
      <c r="T34" s="68"/>
      <c r="U34" s="4"/>
      <c r="V34" s="68">
        <f>700*1.0057*1.0276*1.0091*1.0182*1.0155*1.0184*1.0123*1.0203</f>
        <v>793.95031709471027</v>
      </c>
      <c r="W34" s="4">
        <f>840*1.0276*1.0091*1.0182*1.0155*1.0184*1.0123*1.0203</f>
        <v>947.3405394388509</v>
      </c>
      <c r="X34" s="4">
        <f>3349*1.0203</f>
        <v>3416.9847</v>
      </c>
      <c r="Y34" s="176"/>
      <c r="Z34" s="4">
        <v>523.33333333333326</v>
      </c>
      <c r="AA34" s="68">
        <f t="shared" si="15"/>
        <v>1652.5595040000001</v>
      </c>
      <c r="AB34" s="68"/>
      <c r="AC34" s="68">
        <v>3000</v>
      </c>
      <c r="AD34" s="177">
        <v>1053.0882352941178</v>
      </c>
      <c r="AE34" s="177">
        <v>150</v>
      </c>
      <c r="AF34" s="177">
        <v>-371.91392632065981</v>
      </c>
      <c r="AG34" s="67">
        <f t="shared" si="0"/>
        <v>21299.101822677174</v>
      </c>
      <c r="AH34" s="3"/>
      <c r="AI34" s="3"/>
      <c r="AJ34" s="13" t="s">
        <v>21</v>
      </c>
      <c r="AK34" s="65">
        <v>2.4486067456258122E-2</v>
      </c>
      <c r="AL34" s="65">
        <v>0.23514192939354803</v>
      </c>
      <c r="AM34" s="65">
        <v>4.8275862068965517E-2</v>
      </c>
      <c r="AN34" s="66">
        <v>0.26039995321440784</v>
      </c>
      <c r="AO34" s="65">
        <v>0.12015516182205911</v>
      </c>
      <c r="AP34" s="65">
        <v>4.7619491856517399E-2</v>
      </c>
      <c r="AQ34" s="65">
        <v>1.67E-2</v>
      </c>
      <c r="AR34" s="65">
        <v>2.0933333333333332E-2</v>
      </c>
      <c r="AS34" s="64"/>
      <c r="AT34" s="64"/>
      <c r="AU34" s="64"/>
      <c r="AV34" s="61">
        <f t="shared" si="16"/>
        <v>28888.197776802717</v>
      </c>
      <c r="AW34" s="61">
        <f t="shared" si="17"/>
        <v>41009.319761930237</v>
      </c>
      <c r="AX34" s="61">
        <f t="shared" si="18"/>
        <v>6438.3852072499139</v>
      </c>
      <c r="AY34" s="61">
        <f t="shared" si="19"/>
        <v>11094.008873264545</v>
      </c>
      <c r="AZ34" s="61">
        <f t="shared" si="20"/>
        <v>12701.694752038602</v>
      </c>
      <c r="BA34" s="61">
        <f t="shared" si="21"/>
        <v>2741.1955656009964</v>
      </c>
      <c r="BB34" s="61">
        <f t="shared" si="22"/>
        <v>859.0173728530068</v>
      </c>
      <c r="BC34" s="12">
        <f t="shared" si="8"/>
        <v>103731.81930974001</v>
      </c>
      <c r="BD34" s="16"/>
      <c r="BG34" s="178" t="s">
        <v>21</v>
      </c>
      <c r="BH34" s="4">
        <f t="shared" si="9"/>
        <v>21299.101822677174</v>
      </c>
      <c r="BI34" s="4"/>
      <c r="BJ34" s="4">
        <f t="shared" si="23"/>
        <v>38669.370000000003</v>
      </c>
      <c r="BK34" s="4">
        <v>5000</v>
      </c>
      <c r="BL34" s="4"/>
      <c r="BM34" s="4">
        <f>233*1.006*1.0089*1.0057*1.0276*1.0091*1.0182*1.0155*1.0184*1.0123*1.0203</f>
        <v>268.22379955365807</v>
      </c>
      <c r="BN34" s="4">
        <f>607*1.0276*1.0091*1.0182*1.0155*1.0184*1.0123*1.0203</f>
        <v>684.56631838021724</v>
      </c>
      <c r="BO34" s="4">
        <f t="shared" si="11"/>
        <v>103731.81930974001</v>
      </c>
      <c r="BP34" s="4"/>
      <c r="BQ34" s="147">
        <f t="shared" si="12"/>
        <v>169653.08125035107</v>
      </c>
      <c r="BR34" s="184">
        <f t="shared" si="24"/>
        <v>5.3496349843172017E-2</v>
      </c>
      <c r="BS34" s="179"/>
      <c r="BT34" s="4"/>
      <c r="BU34" s="4">
        <v>4682.5004427797021</v>
      </c>
      <c r="BV34" s="182"/>
      <c r="BW34" s="41"/>
      <c r="BX34" s="41"/>
      <c r="BY34" s="43"/>
      <c r="BZ34" s="42"/>
      <c r="CA34" s="31"/>
      <c r="CB34" s="31"/>
      <c r="CC34" s="4"/>
      <c r="CE34" s="49"/>
      <c r="CF34" s="49"/>
      <c r="CG34" s="37"/>
      <c r="CH34" s="49"/>
      <c r="CI34" s="41"/>
      <c r="CJ34" s="41"/>
      <c r="CK34" s="41"/>
      <c r="CL34" s="41"/>
      <c r="CM34" s="40"/>
      <c r="CN34" s="40"/>
      <c r="CO34" s="39"/>
      <c r="CP34" s="38"/>
      <c r="CQ34" s="37"/>
      <c r="CR34" s="4"/>
      <c r="CS34" s="53"/>
      <c r="CT34" s="4"/>
      <c r="CU34" s="4"/>
      <c r="CV34" s="2"/>
      <c r="CW34" s="4"/>
      <c r="CY34" s="4"/>
      <c r="CZ34" s="4"/>
      <c r="DA34" s="4"/>
      <c r="DB34" s="4"/>
      <c r="DD34" s="4"/>
      <c r="DE34" s="2"/>
      <c r="DI34" s="2"/>
      <c r="DJ34" s="2"/>
      <c r="DK34" s="2"/>
      <c r="DO34" s="2"/>
      <c r="DP34" s="4"/>
      <c r="DR34" s="48"/>
    </row>
    <row r="35" spans="1:122" ht="16.5" thickBot="1" x14ac:dyDescent="0.3">
      <c r="A35" s="47"/>
      <c r="B35" s="47"/>
      <c r="C35" s="47"/>
      <c r="D35" s="47"/>
      <c r="E35" s="47"/>
      <c r="I35" s="27"/>
      <c r="J35" s="2"/>
      <c r="L35" s="56"/>
      <c r="M35" s="57">
        <f t="shared" ref="M35:AF35" si="26">SUM(M14:M34)</f>
        <v>14978.236791943931</v>
      </c>
      <c r="N35" s="55">
        <f t="shared" si="26"/>
        <v>971.32560000000001</v>
      </c>
      <c r="O35" s="55">
        <f t="shared" si="26"/>
        <v>3000</v>
      </c>
      <c r="P35" s="55">
        <f t="shared" si="26"/>
        <v>13221.518817081665</v>
      </c>
      <c r="Q35" s="55">
        <f t="shared" si="26"/>
        <v>9758.1317993348257</v>
      </c>
      <c r="R35" s="55">
        <f t="shared" si="26"/>
        <v>19758</v>
      </c>
      <c r="S35" s="55">
        <f t="shared" si="26"/>
        <v>979.72884331471334</v>
      </c>
      <c r="T35" s="55">
        <f t="shared" si="26"/>
        <v>5700</v>
      </c>
      <c r="U35" s="55">
        <f t="shared" si="26"/>
        <v>0</v>
      </c>
      <c r="V35" s="55">
        <f t="shared" si="26"/>
        <v>5671.0736935336454</v>
      </c>
      <c r="W35" s="55">
        <f t="shared" si="26"/>
        <v>16916.795347122337</v>
      </c>
      <c r="X35" s="55">
        <f t="shared" si="26"/>
        <v>8571.5403000000006</v>
      </c>
      <c r="Y35" s="55">
        <f t="shared" si="26"/>
        <v>1865.7423180295821</v>
      </c>
      <c r="Z35" s="55">
        <f t="shared" si="26"/>
        <v>25000</v>
      </c>
      <c r="AA35" s="55">
        <f t="shared" si="26"/>
        <v>37182.588840000004</v>
      </c>
      <c r="AB35" s="55">
        <f t="shared" si="26"/>
        <v>9089.0772720000004</v>
      </c>
      <c r="AC35" s="55">
        <f t="shared" si="26"/>
        <v>15000</v>
      </c>
      <c r="AD35" s="55">
        <f t="shared" si="26"/>
        <v>54998.382352941182</v>
      </c>
      <c r="AE35" s="55">
        <f t="shared" si="26"/>
        <v>9990</v>
      </c>
      <c r="AF35" s="55">
        <f t="shared" si="26"/>
        <v>2.2919266484677792E-10</v>
      </c>
      <c r="AG35" s="54">
        <f t="shared" si="0"/>
        <v>252652.1419753021</v>
      </c>
      <c r="AH35" s="3"/>
      <c r="AI35" s="3"/>
      <c r="AJ35" s="143"/>
      <c r="AK35" s="203">
        <f t="shared" ref="AK35:AR35" si="27">SUM(AK14:AK34)</f>
        <v>0.99999999999999989</v>
      </c>
      <c r="AL35" s="203">
        <f t="shared" si="27"/>
        <v>1</v>
      </c>
      <c r="AM35" s="203">
        <f t="shared" si="27"/>
        <v>0.99999999999999989</v>
      </c>
      <c r="AN35" s="203">
        <f t="shared" si="27"/>
        <v>0.99999987635502507</v>
      </c>
      <c r="AO35" s="203">
        <f t="shared" si="27"/>
        <v>1.0000000000000002</v>
      </c>
      <c r="AP35" s="203">
        <f t="shared" si="27"/>
        <v>1</v>
      </c>
      <c r="AQ35" s="203">
        <f t="shared" si="27"/>
        <v>1</v>
      </c>
      <c r="AR35" s="203">
        <f t="shared" si="27"/>
        <v>1</v>
      </c>
      <c r="AS35" s="36"/>
      <c r="AT35" s="36"/>
      <c r="AU35" s="36"/>
      <c r="AV35" s="12">
        <f t="shared" ref="AV35:BC35" si="28">SUM(AV14:AV34)</f>
        <v>1179781.0256142016</v>
      </c>
      <c r="AW35" s="12">
        <f t="shared" si="28"/>
        <v>174402.41248209935</v>
      </c>
      <c r="AX35" s="12">
        <f t="shared" si="28"/>
        <v>133366.55072160537</v>
      </c>
      <c r="AY35" s="12">
        <f t="shared" si="28"/>
        <v>92330.688961111387</v>
      </c>
      <c r="AZ35" s="12">
        <f t="shared" si="28"/>
        <v>266733.10144321073</v>
      </c>
      <c r="BA35" s="12">
        <f t="shared" si="28"/>
        <v>164143.44704197583</v>
      </c>
      <c r="BB35" s="12">
        <f t="shared" si="28"/>
        <v>41035.861760493957</v>
      </c>
      <c r="BC35" s="12">
        <f t="shared" si="28"/>
        <v>2051793.088024698</v>
      </c>
      <c r="BG35" s="204"/>
      <c r="BH35" s="59">
        <f t="shared" ref="BH35:BO35" si="29">SUM(BH14:BH34)</f>
        <v>252652.14197530213</v>
      </c>
      <c r="BI35" s="59">
        <f t="shared" si="29"/>
        <v>18000</v>
      </c>
      <c r="BJ35" s="59">
        <f t="shared" si="29"/>
        <v>812056.77</v>
      </c>
      <c r="BK35" s="59">
        <f t="shared" si="29"/>
        <v>36800</v>
      </c>
      <c r="BL35" s="59">
        <f t="shared" si="29"/>
        <v>0</v>
      </c>
      <c r="BM35" s="59">
        <f t="shared" si="29"/>
        <v>0</v>
      </c>
      <c r="BN35" s="59">
        <f t="shared" si="29"/>
        <v>0</v>
      </c>
      <c r="BO35" s="59">
        <f t="shared" si="29"/>
        <v>2051793.088024698</v>
      </c>
      <c r="BP35" s="59"/>
      <c r="BQ35" s="59">
        <f>SUM(BQ14:BQ34)</f>
        <v>3171301.9999999995</v>
      </c>
      <c r="BR35" s="60">
        <f t="shared" si="24"/>
        <v>1</v>
      </c>
      <c r="BS35" s="59"/>
      <c r="BT35" s="59"/>
      <c r="BU35" s="59">
        <v>89276.460000000021</v>
      </c>
      <c r="BV35" s="205"/>
      <c r="BW35" s="41"/>
      <c r="BX35" s="41"/>
      <c r="BY35" s="43"/>
      <c r="BZ35" s="42"/>
      <c r="CA35" s="31"/>
      <c r="CB35" s="31"/>
      <c r="CC35" s="4"/>
      <c r="CE35" s="49"/>
      <c r="CF35" s="49"/>
      <c r="CG35" s="37"/>
      <c r="CH35" s="49"/>
      <c r="CI35" s="41"/>
      <c r="CJ35" s="41"/>
      <c r="CK35" s="41"/>
      <c r="CL35" s="41"/>
      <c r="CM35" s="40"/>
      <c r="CN35" s="40"/>
      <c r="CO35" s="39"/>
      <c r="CP35" s="38"/>
      <c r="CQ35" s="37"/>
      <c r="CR35" s="4"/>
      <c r="CS35" s="53"/>
      <c r="CT35" s="4"/>
      <c r="CU35" s="4"/>
      <c r="CV35" s="2"/>
      <c r="CW35" s="4"/>
      <c r="CY35" s="4"/>
      <c r="CZ35" s="4"/>
      <c r="DA35" s="4"/>
      <c r="DB35" s="4"/>
      <c r="DD35" s="4"/>
      <c r="DE35" s="2"/>
      <c r="DI35" s="2"/>
      <c r="DJ35" s="2"/>
      <c r="DK35" s="2"/>
      <c r="DO35" s="2"/>
      <c r="DP35" s="4"/>
      <c r="DR35" s="48"/>
    </row>
    <row r="36" spans="1:122" ht="16.5" thickBot="1" x14ac:dyDescent="0.3">
      <c r="A36" s="47" t="s">
        <v>53</v>
      </c>
      <c r="B36" s="47">
        <f>37900*1.0203</f>
        <v>38669.370000000003</v>
      </c>
      <c r="C36" s="47"/>
      <c r="D36" s="47"/>
      <c r="E36" s="47"/>
      <c r="I36" s="27"/>
      <c r="J36" s="2"/>
      <c r="L36" s="56" t="s">
        <v>58</v>
      </c>
      <c r="M36" s="57">
        <f t="shared" ref="M36:Q36" si="30">SUM(M35:M35)</f>
        <v>14978.236791943931</v>
      </c>
      <c r="N36" s="55">
        <f t="shared" si="30"/>
        <v>971.32560000000001</v>
      </c>
      <c r="O36" s="55">
        <f t="shared" si="30"/>
        <v>3000</v>
      </c>
      <c r="P36" s="55">
        <f t="shared" si="30"/>
        <v>13221.518817081665</v>
      </c>
      <c r="Q36" s="55">
        <f t="shared" si="30"/>
        <v>9758.1317993348257</v>
      </c>
      <c r="R36" s="55">
        <f t="shared" ref="R36:Y36" si="31">SUM(R35:R35)</f>
        <v>19758</v>
      </c>
      <c r="S36" s="55">
        <f t="shared" si="31"/>
        <v>979.72884331471334</v>
      </c>
      <c r="T36" s="55">
        <f t="shared" si="31"/>
        <v>5700</v>
      </c>
      <c r="U36" s="55">
        <f t="shared" si="31"/>
        <v>0</v>
      </c>
      <c r="V36" s="55">
        <f t="shared" si="31"/>
        <v>5671.0736935336454</v>
      </c>
      <c r="W36" s="55">
        <f t="shared" si="31"/>
        <v>16916.795347122337</v>
      </c>
      <c r="X36" s="55">
        <f t="shared" si="31"/>
        <v>8571.5403000000006</v>
      </c>
      <c r="Y36" s="55">
        <f t="shared" si="31"/>
        <v>1865.7423180295821</v>
      </c>
      <c r="Z36" s="55">
        <f>SUM(Z35:Z35)</f>
        <v>25000</v>
      </c>
      <c r="AA36" s="55">
        <f t="shared" ref="AA36:AG36" si="32">SUM(AA35:AA35)</f>
        <v>37182.588840000004</v>
      </c>
      <c r="AB36" s="55">
        <f t="shared" si="32"/>
        <v>9089.0772720000004</v>
      </c>
      <c r="AC36" s="55">
        <f t="shared" si="32"/>
        <v>15000</v>
      </c>
      <c r="AD36" s="55">
        <f t="shared" si="32"/>
        <v>54998.382352941182</v>
      </c>
      <c r="AE36" s="55">
        <f t="shared" si="32"/>
        <v>9990</v>
      </c>
      <c r="AF36" s="55">
        <f>SUM(AF35:AF35)</f>
        <v>2.2919266484677792E-10</v>
      </c>
      <c r="AG36" s="54">
        <f t="shared" si="32"/>
        <v>252652.1419753021</v>
      </c>
      <c r="AH36" s="3"/>
      <c r="AI36" s="3"/>
      <c r="AJ36" s="3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BG36" s="18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81"/>
      <c r="BU36" s="181"/>
      <c r="BV36" s="183"/>
      <c r="BX36" s="41"/>
      <c r="BY36" s="43"/>
      <c r="BZ36" s="42"/>
      <c r="CA36" s="31"/>
      <c r="CB36" s="31"/>
      <c r="CC36" s="4"/>
      <c r="CE36" s="49"/>
      <c r="CF36" s="49"/>
      <c r="CG36" s="37"/>
      <c r="CH36" s="49"/>
      <c r="CI36" s="41"/>
      <c r="CJ36" s="41"/>
      <c r="CK36" s="41"/>
      <c r="CL36" s="41"/>
      <c r="CM36" s="40"/>
      <c r="CN36" s="40"/>
      <c r="CO36" s="39"/>
      <c r="CP36" s="38"/>
      <c r="CQ36" s="37"/>
      <c r="CR36" s="4"/>
      <c r="CS36" s="58"/>
      <c r="CT36" s="4"/>
      <c r="CU36" s="4"/>
      <c r="CV36" s="2"/>
      <c r="CW36" s="4"/>
      <c r="CY36" s="4"/>
      <c r="CZ36" s="4"/>
      <c r="DA36" s="4"/>
      <c r="DB36" s="4"/>
      <c r="DD36" s="4"/>
      <c r="DE36" s="2"/>
      <c r="DI36" s="2"/>
      <c r="DJ36" s="2"/>
      <c r="DK36" s="2"/>
      <c r="DO36" s="2"/>
      <c r="DP36" s="4"/>
      <c r="DR36" s="48"/>
    </row>
    <row r="37" spans="1:122" ht="16.5" thickBot="1" x14ac:dyDescent="0.3">
      <c r="B37" s="47"/>
      <c r="C37" s="47"/>
      <c r="D37" s="47"/>
      <c r="E37" s="47"/>
      <c r="I37" s="27"/>
      <c r="J37" s="2"/>
      <c r="AH37" s="3"/>
      <c r="AI37" s="3"/>
      <c r="AJ37" s="3"/>
      <c r="AK37" s="13" t="s">
        <v>28</v>
      </c>
      <c r="AL37" s="13"/>
      <c r="AM37" s="13"/>
      <c r="AN37" s="13"/>
      <c r="AO37" s="50">
        <f>C30</f>
        <v>2051793.0880246977</v>
      </c>
      <c r="AP37" s="16"/>
      <c r="AQ37" s="16"/>
      <c r="AR37" s="16"/>
      <c r="AS37" s="16"/>
      <c r="AT37" s="16"/>
      <c r="AU37" s="16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0"/>
      <c r="BU37" s="20"/>
      <c r="BV37" s="20"/>
      <c r="BX37" s="41"/>
      <c r="BY37" s="43"/>
      <c r="BZ37" s="42"/>
      <c r="CA37" s="31"/>
      <c r="CB37" s="31"/>
      <c r="CC37" s="4"/>
      <c r="CE37" s="49"/>
      <c r="CF37" s="49"/>
      <c r="CG37" s="37"/>
      <c r="CH37" s="49"/>
      <c r="CI37" s="41"/>
      <c r="CJ37" s="41"/>
      <c r="CK37" s="41"/>
      <c r="CL37" s="41"/>
      <c r="CM37" s="40"/>
      <c r="CN37" s="40"/>
      <c r="CO37" s="39"/>
      <c r="CP37" s="38"/>
      <c r="CQ37" s="37"/>
      <c r="CR37" s="4"/>
      <c r="CS37" s="53"/>
      <c r="CT37" s="4"/>
      <c r="CU37" s="4"/>
      <c r="CV37" s="2"/>
      <c r="CW37" s="4"/>
      <c r="CY37" s="4"/>
      <c r="CZ37" s="4"/>
      <c r="DA37" s="4"/>
      <c r="DB37" s="4"/>
      <c r="DD37" s="4"/>
      <c r="DE37" s="2"/>
      <c r="DI37" s="2"/>
      <c r="DJ37" s="2"/>
      <c r="DK37" s="2"/>
      <c r="DO37" s="2"/>
      <c r="DP37" s="4"/>
      <c r="DR37" s="48"/>
    </row>
    <row r="38" spans="1:122" x14ac:dyDescent="0.25">
      <c r="A38" s="47"/>
      <c r="B38" s="173"/>
      <c r="C38" s="47"/>
      <c r="D38" s="47"/>
      <c r="E38" s="47"/>
      <c r="I38" s="27"/>
      <c r="J38" s="2"/>
      <c r="AH38" s="3"/>
      <c r="AI38" s="3"/>
      <c r="AJ38" s="3"/>
      <c r="AK38" s="21" t="s">
        <v>29</v>
      </c>
      <c r="AL38" s="21"/>
      <c r="AM38" s="52" t="s">
        <v>30</v>
      </c>
      <c r="AN38" s="21"/>
      <c r="AO38" s="20"/>
      <c r="AP38" s="46"/>
      <c r="AQ38" s="46"/>
      <c r="AR38" s="51"/>
      <c r="AS38" s="51"/>
      <c r="BG38" s="21" t="s">
        <v>0</v>
      </c>
      <c r="BH38" s="21"/>
      <c r="BI38" s="21"/>
      <c r="BJ38" s="21"/>
      <c r="BK38" s="21"/>
      <c r="BL38" s="21"/>
      <c r="BM38" s="21"/>
      <c r="BN38" s="21"/>
      <c r="BO38" s="21"/>
      <c r="BP38" s="21"/>
      <c r="BQ38" s="21">
        <f>-C15</f>
        <v>988</v>
      </c>
      <c r="BR38" s="21"/>
      <c r="BS38" s="21"/>
      <c r="BT38" s="20"/>
      <c r="BU38" s="20"/>
      <c r="BV38" s="20"/>
      <c r="BX38" s="41"/>
      <c r="BY38" s="43"/>
      <c r="BZ38" s="42"/>
      <c r="CA38" s="31"/>
      <c r="CB38" s="31"/>
      <c r="CC38" s="4"/>
      <c r="CE38" s="49"/>
      <c r="CF38" s="49"/>
      <c r="CG38" s="37"/>
      <c r="CH38" s="49"/>
      <c r="CI38" s="41"/>
      <c r="CJ38" s="41"/>
      <c r="CK38" s="41"/>
      <c r="CL38" s="41"/>
      <c r="CM38" s="40"/>
      <c r="CN38" s="40"/>
      <c r="CO38" s="39"/>
      <c r="CP38" s="38"/>
      <c r="CQ38" s="37"/>
      <c r="CR38" s="4"/>
      <c r="CS38" s="53"/>
      <c r="CT38" s="4"/>
      <c r="CU38" s="4"/>
      <c r="CV38" s="2"/>
      <c r="CW38" s="4"/>
      <c r="CY38" s="4"/>
      <c r="CZ38" s="4"/>
      <c r="DA38" s="4"/>
      <c r="DB38" s="4"/>
      <c r="DD38" s="4"/>
      <c r="DE38" s="2"/>
      <c r="DI38" s="2"/>
      <c r="DJ38" s="2"/>
      <c r="DK38" s="2"/>
      <c r="DO38" s="2"/>
      <c r="DP38" s="4"/>
      <c r="DR38" s="48"/>
    </row>
    <row r="39" spans="1:122" x14ac:dyDescent="0.25">
      <c r="A39" s="47"/>
      <c r="B39" s="47"/>
      <c r="C39" s="47"/>
      <c r="D39" s="47"/>
      <c r="E39" s="47"/>
      <c r="I39" s="27"/>
      <c r="J39" s="2"/>
      <c r="Q39" s="206"/>
      <c r="R39" s="207"/>
      <c r="S39" s="207"/>
      <c r="T39" s="207"/>
      <c r="U39" s="208"/>
      <c r="V39" s="207"/>
      <c r="W39" s="208"/>
      <c r="X39" s="208"/>
      <c r="Y39" s="208"/>
      <c r="Z39" s="208"/>
      <c r="AA39" s="207"/>
      <c r="AB39" s="207"/>
      <c r="AC39" s="207"/>
      <c r="AD39" s="208"/>
      <c r="AE39" s="208"/>
      <c r="AF39" s="208"/>
      <c r="AG39" s="207"/>
      <c r="AH39" s="3"/>
      <c r="AI39" s="3"/>
      <c r="AJ39" s="3"/>
      <c r="AK39" s="21" t="s">
        <v>31</v>
      </c>
      <c r="AL39" s="21"/>
      <c r="AM39" s="26">
        <v>0.57499999999999996</v>
      </c>
      <c r="AN39" s="21"/>
      <c r="AO39" s="20">
        <f>AM39*$AO$37</f>
        <v>1179781.0256142011</v>
      </c>
      <c r="AP39" s="28"/>
      <c r="AQ39" s="28"/>
      <c r="AR39" s="25"/>
      <c r="AS39" s="24"/>
      <c r="BG39" s="21" t="s">
        <v>57</v>
      </c>
      <c r="BH39" s="21"/>
      <c r="BI39" s="21"/>
      <c r="BJ39" s="21"/>
      <c r="BK39" s="21"/>
      <c r="BL39" s="21"/>
      <c r="BM39" s="21"/>
      <c r="BN39" s="21"/>
      <c r="BO39" s="13"/>
      <c r="BP39" s="21"/>
      <c r="BQ39" s="20"/>
      <c r="BR39" s="21"/>
      <c r="BS39" s="21"/>
      <c r="BT39" s="20"/>
      <c r="BU39" s="20"/>
      <c r="BV39" s="20"/>
      <c r="BX39" s="41"/>
      <c r="BY39" s="43"/>
      <c r="BZ39" s="42"/>
      <c r="CA39" s="31"/>
      <c r="CB39" s="31"/>
      <c r="CC39" s="4"/>
      <c r="CE39" s="49"/>
      <c r="CF39" s="49"/>
      <c r="CG39" s="37"/>
      <c r="CH39" s="49"/>
      <c r="CI39" s="41"/>
      <c r="CJ39" s="41"/>
      <c r="CK39" s="41"/>
      <c r="CL39" s="41"/>
      <c r="CM39" s="40"/>
      <c r="CN39" s="40"/>
      <c r="CO39" s="39"/>
      <c r="CP39" s="38"/>
      <c r="CQ39" s="37"/>
      <c r="CR39" s="4"/>
      <c r="CS39" s="3"/>
      <c r="CT39" s="4"/>
      <c r="CU39" s="4"/>
      <c r="CV39" s="2"/>
      <c r="CW39" s="4"/>
      <c r="CY39" s="4"/>
      <c r="CZ39" s="4"/>
      <c r="DA39" s="4"/>
      <c r="DB39" s="4"/>
      <c r="DD39" s="4"/>
      <c r="DE39" s="2"/>
      <c r="DI39" s="2"/>
      <c r="DJ39" s="2"/>
      <c r="DK39" s="2"/>
      <c r="DO39" s="2"/>
      <c r="DP39" s="4"/>
      <c r="DR39" s="48"/>
    </row>
    <row r="40" spans="1:122" x14ac:dyDescent="0.25">
      <c r="A40" s="47"/>
      <c r="B40" s="47"/>
      <c r="C40" s="47"/>
      <c r="D40" s="47"/>
      <c r="E40" s="47"/>
      <c r="I40" s="27"/>
      <c r="J40" s="17"/>
      <c r="Q40" s="206"/>
      <c r="R40" s="207"/>
      <c r="S40" s="207"/>
      <c r="T40" s="207"/>
      <c r="U40" s="208"/>
      <c r="V40" s="207"/>
      <c r="W40" s="208"/>
      <c r="X40" s="208"/>
      <c r="Y40" s="208"/>
      <c r="Z40" s="208"/>
      <c r="AA40" s="207"/>
      <c r="AB40" s="207"/>
      <c r="AC40" s="207"/>
      <c r="AD40" s="208"/>
      <c r="AE40" s="208"/>
      <c r="AF40" s="208"/>
      <c r="AG40" s="207"/>
      <c r="AH40" s="3"/>
      <c r="AI40" s="3"/>
      <c r="AJ40" s="3"/>
      <c r="AK40" s="21"/>
      <c r="AL40" s="21"/>
      <c r="AM40" s="26"/>
      <c r="AN40" s="21"/>
      <c r="AO40" s="20"/>
      <c r="AP40" s="28"/>
      <c r="AQ40" s="28"/>
      <c r="AR40" s="25"/>
      <c r="AS40" s="24"/>
      <c r="BG40" s="21" t="s">
        <v>56</v>
      </c>
      <c r="BH40" s="21"/>
      <c r="BI40" s="21"/>
      <c r="BJ40" s="21"/>
      <c r="BK40" s="21"/>
      <c r="BL40" s="21"/>
      <c r="BM40" s="21"/>
      <c r="BN40" s="21"/>
      <c r="BO40" s="13"/>
      <c r="BP40" s="21"/>
      <c r="BQ40" s="20"/>
      <c r="BR40" s="21"/>
      <c r="BS40" s="21"/>
      <c r="BT40" s="20"/>
      <c r="BU40" s="20"/>
      <c r="BV40" s="50"/>
      <c r="BX40" s="41"/>
      <c r="BY40" s="43"/>
      <c r="BZ40" s="42"/>
      <c r="CA40" s="31"/>
      <c r="CB40" s="31"/>
      <c r="CC40" s="4"/>
      <c r="CE40" s="49"/>
      <c r="CF40" s="49"/>
      <c r="CG40" s="37"/>
      <c r="CH40" s="49"/>
      <c r="CI40" s="41"/>
      <c r="CJ40" s="41"/>
      <c r="CK40" s="41"/>
      <c r="CL40" s="41"/>
      <c r="CM40" s="40"/>
      <c r="CN40" s="40"/>
      <c r="CO40" s="39"/>
      <c r="CP40" s="38"/>
      <c r="CQ40" s="37"/>
      <c r="CR40" s="4"/>
      <c r="CS40" s="3"/>
      <c r="CT40" s="4"/>
      <c r="CU40" s="4"/>
      <c r="CV40" s="2"/>
      <c r="CW40" s="4"/>
      <c r="CY40" s="4"/>
      <c r="CZ40" s="4"/>
      <c r="DA40" s="4"/>
      <c r="DB40" s="4"/>
      <c r="DD40" s="4"/>
      <c r="DE40" s="2"/>
      <c r="DI40" s="2"/>
      <c r="DJ40" s="2"/>
      <c r="DK40" s="2"/>
      <c r="DO40" s="2"/>
      <c r="DP40" s="4"/>
      <c r="DR40" s="48"/>
    </row>
    <row r="41" spans="1:122" ht="16.5" thickBot="1" x14ac:dyDescent="0.3">
      <c r="A41" s="47"/>
      <c r="B41" s="47"/>
      <c r="C41" s="47"/>
      <c r="D41" s="47"/>
      <c r="E41" s="47"/>
      <c r="I41" s="27"/>
      <c r="J41" s="4"/>
      <c r="AH41" s="3"/>
      <c r="AI41" s="3"/>
      <c r="AJ41" s="3"/>
      <c r="AK41" s="21" t="s">
        <v>32</v>
      </c>
      <c r="AL41" s="21"/>
      <c r="AM41" s="26">
        <v>8.5000000000000006E-2</v>
      </c>
      <c r="AN41" s="21"/>
      <c r="AO41" s="20">
        <f t="shared" ref="AO41:AO47" si="33">AM41*$AO$37</f>
        <v>174402.41248209932</v>
      </c>
      <c r="AP41" s="2"/>
      <c r="AQ41" s="2"/>
      <c r="AR41" s="25"/>
      <c r="AS41" s="24"/>
      <c r="AT41" s="46"/>
      <c r="AU41" s="4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45" t="s">
        <v>55</v>
      </c>
      <c r="BH41" s="45"/>
      <c r="BI41" s="45"/>
      <c r="BJ41" s="45"/>
      <c r="BK41" s="45"/>
      <c r="BL41" s="45"/>
      <c r="BM41" s="45"/>
      <c r="BN41" s="45"/>
      <c r="BO41" s="45"/>
      <c r="BP41" s="45"/>
      <c r="BQ41" s="44">
        <f>SUM(BQ35+BQ38+BQ39+BQ40)</f>
        <v>3172289.9999999995</v>
      </c>
      <c r="BR41" s="45"/>
      <c r="BS41" s="45"/>
      <c r="BT41" s="44"/>
      <c r="BU41" s="44"/>
      <c r="BV41" s="44"/>
      <c r="BW41" s="18"/>
      <c r="BY41" s="43"/>
      <c r="BZ41" s="42"/>
      <c r="CA41" s="31"/>
      <c r="CB41" s="31"/>
      <c r="CC41" s="4"/>
      <c r="CE41" s="49"/>
      <c r="CF41" s="4"/>
      <c r="CG41" s="37"/>
      <c r="CH41" s="4"/>
      <c r="CI41" s="4"/>
      <c r="CJ41" s="4"/>
      <c r="CK41" s="4"/>
      <c r="CL41" s="41"/>
      <c r="CM41" s="40"/>
      <c r="CN41" s="40"/>
      <c r="CO41" s="39"/>
      <c r="CP41" s="38"/>
      <c r="CQ41" s="37"/>
      <c r="CR41" s="4"/>
      <c r="CS41" s="3"/>
      <c r="CT41" s="4"/>
      <c r="CU41" s="4"/>
      <c r="CV41" s="2"/>
      <c r="CW41" s="4"/>
      <c r="CY41" s="4"/>
      <c r="CZ41" s="4"/>
      <c r="DA41" s="4"/>
      <c r="DB41" s="4"/>
      <c r="DD41" s="4"/>
      <c r="DE41" s="2"/>
      <c r="DI41" s="2"/>
      <c r="DJ41" s="2"/>
      <c r="DK41" s="2"/>
      <c r="DO41" s="2"/>
      <c r="DP41" s="4"/>
      <c r="DR41" s="48"/>
    </row>
    <row r="42" spans="1:122" ht="16.5" thickTop="1" x14ac:dyDescent="0.25">
      <c r="A42" s="47"/>
      <c r="B42" s="47"/>
      <c r="C42" s="47"/>
      <c r="D42" s="47"/>
      <c r="E42" s="47"/>
      <c r="I42" s="27"/>
      <c r="J42" s="4"/>
      <c r="AH42" s="3"/>
      <c r="AI42" s="3"/>
      <c r="AJ42" s="3"/>
      <c r="AK42" s="21" t="s">
        <v>33</v>
      </c>
      <c r="AL42" s="21"/>
      <c r="AM42" s="35">
        <v>6.5000000000000002E-2</v>
      </c>
      <c r="AN42" s="21"/>
      <c r="AO42" s="20">
        <f t="shared" si="33"/>
        <v>133366.55072160537</v>
      </c>
      <c r="AP42" s="28"/>
      <c r="AQ42" s="28"/>
      <c r="AR42" s="25"/>
      <c r="AS42" s="24"/>
      <c r="AT42" s="28"/>
      <c r="AU42" s="28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0"/>
      <c r="BU42" s="20"/>
      <c r="BV42" s="20"/>
      <c r="BY42" s="43"/>
      <c r="BZ42" s="42"/>
      <c r="CA42" s="31"/>
      <c r="CB42" s="31"/>
      <c r="CC42" s="4"/>
      <c r="CL42" s="41"/>
      <c r="CM42" s="40"/>
      <c r="CN42" s="40"/>
      <c r="CO42" s="39"/>
      <c r="CP42" s="38"/>
      <c r="CQ42" s="37"/>
      <c r="CR42" s="4"/>
      <c r="CS42" s="4"/>
      <c r="CT42" s="4"/>
      <c r="CU42" s="4"/>
      <c r="CV42" s="2"/>
      <c r="CW42" s="4"/>
      <c r="CX42" s="2"/>
      <c r="CY42" s="4"/>
      <c r="CZ42" s="4"/>
      <c r="DA42" s="4"/>
      <c r="DB42" s="4"/>
      <c r="DD42" s="4"/>
      <c r="DE42" s="2"/>
      <c r="DI42" s="2"/>
      <c r="DJ42" s="2"/>
      <c r="DK42" s="2"/>
      <c r="DO42" s="2"/>
      <c r="DP42" s="4"/>
      <c r="DR42" s="36"/>
    </row>
    <row r="43" spans="1:122" x14ac:dyDescent="0.25">
      <c r="B43" s="47"/>
      <c r="C43" s="47"/>
      <c r="D43" s="47"/>
      <c r="E43" s="47"/>
      <c r="I43" s="27"/>
      <c r="J43" s="4"/>
      <c r="AH43" s="3"/>
      <c r="AI43" s="3"/>
      <c r="AJ43" s="3"/>
      <c r="AK43" s="21" t="s">
        <v>54</v>
      </c>
      <c r="AL43" s="21"/>
      <c r="AM43" s="26">
        <v>0</v>
      </c>
      <c r="AN43" s="21"/>
      <c r="AO43" s="20">
        <f t="shared" si="33"/>
        <v>0</v>
      </c>
      <c r="AP43" s="2"/>
      <c r="AQ43" s="2"/>
      <c r="AR43" s="30"/>
      <c r="AS43" s="32"/>
      <c r="AT43" s="28"/>
      <c r="AU43" s="28"/>
      <c r="CC43" s="4"/>
      <c r="CL43" s="4"/>
      <c r="CM43" s="34"/>
      <c r="CN43" s="34"/>
      <c r="CO43" s="33"/>
      <c r="CP43" s="33"/>
      <c r="CQ43" s="3"/>
      <c r="CR43" s="3"/>
      <c r="CS43" s="3"/>
      <c r="CT43" s="3"/>
      <c r="CU43" s="3"/>
      <c r="CV43" s="3"/>
      <c r="CW43" s="3"/>
      <c r="CX43" s="3"/>
      <c r="DI43" s="2"/>
      <c r="DO43" s="2"/>
      <c r="DP43" s="4"/>
    </row>
    <row r="44" spans="1:122" x14ac:dyDescent="0.25">
      <c r="A44" s="47"/>
      <c r="B44" s="47"/>
      <c r="C44" s="47"/>
      <c r="D44" s="47"/>
      <c r="E44" s="47"/>
      <c r="I44" s="27"/>
      <c r="J44" s="4"/>
      <c r="X44" s="4"/>
      <c r="AH44" s="3"/>
      <c r="AI44" s="3"/>
      <c r="AJ44" s="3"/>
      <c r="AK44" s="21" t="s">
        <v>34</v>
      </c>
      <c r="AL44" s="21"/>
      <c r="AM44" s="26">
        <v>4.4999999999999998E-2</v>
      </c>
      <c r="AN44" s="21"/>
      <c r="AO44" s="20">
        <f t="shared" si="33"/>
        <v>92330.688961111387</v>
      </c>
      <c r="AP44" s="28"/>
      <c r="AQ44" s="2"/>
      <c r="AR44" s="30"/>
      <c r="AS44" s="29"/>
      <c r="AT44" s="2"/>
      <c r="AU44" s="2"/>
      <c r="DI44" s="2"/>
      <c r="DK44" s="2"/>
      <c r="DO44" s="2"/>
      <c r="DP44" s="4"/>
    </row>
    <row r="45" spans="1:122" x14ac:dyDescent="0.25">
      <c r="A45" s="47"/>
      <c r="B45" s="47"/>
      <c r="C45" s="47"/>
      <c r="D45" s="47"/>
      <c r="E45" s="47"/>
      <c r="I45" s="27"/>
      <c r="J45" s="4"/>
      <c r="K45" s="4"/>
      <c r="AH45" s="3"/>
      <c r="AI45" s="3"/>
      <c r="AJ45" s="3"/>
      <c r="AK45" s="21" t="s">
        <v>35</v>
      </c>
      <c r="AL45" s="21"/>
      <c r="AM45" s="26">
        <v>0.13</v>
      </c>
      <c r="AN45" s="21"/>
      <c r="AO45" s="20">
        <f t="shared" si="33"/>
        <v>266733.10144321073</v>
      </c>
      <c r="AP45" s="28"/>
      <c r="AQ45" s="2"/>
      <c r="AR45" s="30"/>
      <c r="AS45" s="29"/>
      <c r="AT45" s="28"/>
      <c r="AU45" s="28"/>
      <c r="CA45" s="31"/>
      <c r="DI45" s="2"/>
      <c r="DK45" s="2"/>
      <c r="DO45" s="2"/>
      <c r="DP45" s="4"/>
    </row>
    <row r="46" spans="1:122" x14ac:dyDescent="0.25">
      <c r="A46" s="47"/>
      <c r="B46" s="47"/>
      <c r="I46" s="27"/>
      <c r="J46" s="4"/>
      <c r="K46" s="4"/>
      <c r="AH46" s="3"/>
      <c r="AI46" s="3"/>
      <c r="AJ46" s="3"/>
      <c r="AK46" s="21" t="s">
        <v>36</v>
      </c>
      <c r="AL46" s="21"/>
      <c r="AM46" s="26">
        <v>0.08</v>
      </c>
      <c r="AN46" s="21"/>
      <c r="AO46" s="20">
        <f t="shared" si="33"/>
        <v>164143.44704197583</v>
      </c>
      <c r="AP46" s="2"/>
      <c r="AQ46" s="2"/>
      <c r="AR46" s="25"/>
      <c r="AS46" s="24"/>
      <c r="AT46" s="2"/>
      <c r="AU46" s="2"/>
      <c r="DI46" s="2"/>
      <c r="DK46" s="2"/>
      <c r="DO46" s="2"/>
      <c r="DP46" s="4"/>
    </row>
    <row r="47" spans="1:122" x14ac:dyDescent="0.25">
      <c r="A47" s="47"/>
      <c r="H47" s="16"/>
      <c r="I47" s="16"/>
      <c r="J47" s="18"/>
      <c r="K47" s="18"/>
      <c r="AH47" s="3"/>
      <c r="AI47" s="3"/>
      <c r="AJ47" s="3"/>
      <c r="AK47" s="23" t="s">
        <v>37</v>
      </c>
      <c r="AL47" s="23"/>
      <c r="AM47" s="22">
        <v>0.02</v>
      </c>
      <c r="AN47" s="21"/>
      <c r="AO47" s="20">
        <f t="shared" si="33"/>
        <v>41035.861760493957</v>
      </c>
      <c r="AT47" s="2"/>
      <c r="AU47" s="2"/>
      <c r="CA47" s="6"/>
      <c r="DI47" s="2"/>
      <c r="DK47" s="2"/>
      <c r="DO47" s="2"/>
      <c r="DP47" s="4"/>
    </row>
    <row r="48" spans="1:122" s="16" customFormat="1" ht="16.5" thickBot="1" x14ac:dyDescent="0.3">
      <c r="A48" s="47"/>
      <c r="B48" s="1"/>
      <c r="C48" s="1"/>
      <c r="D48" s="1"/>
      <c r="E48" s="1"/>
      <c r="H48" s="1"/>
      <c r="I48" s="1"/>
      <c r="J48" s="3"/>
      <c r="K48" s="3"/>
      <c r="L48" s="3"/>
      <c r="M48" s="3"/>
      <c r="N48" s="3"/>
      <c r="O48" s="3"/>
      <c r="P48" s="3"/>
      <c r="Q48" s="191"/>
      <c r="R48" s="7"/>
      <c r="S48" s="7"/>
      <c r="T48" s="7"/>
      <c r="U48" s="174"/>
      <c r="V48" s="7"/>
      <c r="W48" s="174"/>
      <c r="X48" s="174"/>
      <c r="Y48" s="174"/>
      <c r="Z48" s="174"/>
      <c r="AA48" s="7"/>
      <c r="AB48" s="7"/>
      <c r="AC48" s="7"/>
      <c r="AD48" s="174"/>
      <c r="AE48" s="174"/>
      <c r="AF48" s="174"/>
      <c r="AG48" s="7"/>
      <c r="AH48" s="3"/>
      <c r="AI48" s="3"/>
      <c r="AJ48" s="3"/>
      <c r="AK48" s="15"/>
      <c r="AL48" s="15"/>
      <c r="AM48" s="14">
        <f>SUM(AM39:AM47)</f>
        <v>0.99999999999999989</v>
      </c>
      <c r="AN48" s="13"/>
      <c r="AO48" s="12">
        <f>SUM(AO39:AO47)</f>
        <v>2051793.088024698</v>
      </c>
      <c r="AP48" s="1"/>
      <c r="AQ48" s="1"/>
      <c r="AR48" s="2"/>
      <c r="AS48" s="1"/>
      <c r="AT48" s="2"/>
      <c r="AU48" s="2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2"/>
      <c r="BU48" s="2"/>
      <c r="BV48" s="2"/>
      <c r="BW48" s="4"/>
      <c r="BX48" s="18"/>
      <c r="BY48" s="6"/>
      <c r="BZ48" s="5"/>
      <c r="CA48" s="5"/>
      <c r="CB48" s="5"/>
      <c r="CC48" s="17"/>
      <c r="CD48" s="18"/>
      <c r="CE48" s="17"/>
      <c r="CF48" s="17"/>
      <c r="CG48" s="17"/>
      <c r="CH48" s="17"/>
      <c r="CI48" s="17"/>
      <c r="CJ48" s="17"/>
      <c r="CK48" s="17"/>
      <c r="CL48" s="17"/>
      <c r="CM48" s="18"/>
      <c r="CN48" s="17"/>
      <c r="CO48" s="19"/>
      <c r="CY48" s="19"/>
      <c r="CZ48" s="19"/>
      <c r="DA48" s="19"/>
      <c r="DB48" s="19"/>
      <c r="DC48" s="19"/>
      <c r="DD48" s="19"/>
      <c r="DI48" s="17"/>
      <c r="DK48" s="17"/>
      <c r="DM48" s="19"/>
      <c r="DN48" s="19"/>
      <c r="DO48" s="17"/>
      <c r="DP48" s="18"/>
      <c r="DQ48" s="17"/>
    </row>
    <row r="49" spans="1:36" x14ac:dyDescent="0.25">
      <c r="A49" s="47"/>
      <c r="AH49" s="3"/>
      <c r="AI49" s="3"/>
      <c r="AJ49" s="3"/>
    </row>
    <row r="50" spans="1:36" x14ac:dyDescent="0.25">
      <c r="A50" s="47"/>
      <c r="B50" s="47"/>
      <c r="AH50" s="3"/>
      <c r="AI50" s="3"/>
    </row>
    <row r="51" spans="1:36" ht="15" customHeight="1" x14ac:dyDescent="0.25">
      <c r="A51" s="47"/>
      <c r="B51" s="16"/>
      <c r="C51" s="16"/>
      <c r="D51" s="16"/>
      <c r="E51" s="16"/>
      <c r="AH51" s="3"/>
      <c r="AI51" s="3"/>
    </row>
    <row r="52" spans="1:36" ht="1.5" hidden="1" customHeight="1" x14ac:dyDescent="0.25">
      <c r="A52" s="47"/>
      <c r="AH52" s="3"/>
      <c r="AI52" s="3"/>
    </row>
    <row r="53" spans="1:36" x14ac:dyDescent="0.25">
      <c r="A53" s="47"/>
      <c r="AH53" s="3"/>
      <c r="AI53" s="3"/>
    </row>
    <row r="54" spans="1:36" x14ac:dyDescent="0.25">
      <c r="A54" s="47"/>
      <c r="AH54" s="3"/>
      <c r="AI54" s="3"/>
    </row>
    <row r="55" spans="1:36" x14ac:dyDescent="0.25">
      <c r="AH55" s="3"/>
      <c r="AI55" s="3"/>
    </row>
    <row r="56" spans="1:36" x14ac:dyDescent="0.25">
      <c r="A56" s="47"/>
      <c r="AH56" s="3"/>
      <c r="AI56" s="3"/>
    </row>
    <row r="57" spans="1:36" x14ac:dyDescent="0.25">
      <c r="AH57" s="3"/>
      <c r="AI57" s="3"/>
    </row>
    <row r="58" spans="1:36" x14ac:dyDescent="0.25">
      <c r="AH58" s="3"/>
      <c r="AI58" s="3"/>
    </row>
    <row r="59" spans="1:36" x14ac:dyDescent="0.25">
      <c r="AH59" s="3"/>
      <c r="AI59" s="3"/>
    </row>
    <row r="60" spans="1:36" x14ac:dyDescent="0.25">
      <c r="AH60" s="3"/>
      <c r="AI60" s="3"/>
    </row>
    <row r="61" spans="1:36" x14ac:dyDescent="0.25">
      <c r="AH61" s="3"/>
      <c r="AI61" s="3"/>
    </row>
    <row r="62" spans="1:36" x14ac:dyDescent="0.25">
      <c r="AH62" s="3"/>
      <c r="AI62" s="3"/>
    </row>
    <row r="63" spans="1:36" x14ac:dyDescent="0.25">
      <c r="AH63" s="3"/>
      <c r="AI63" s="3"/>
    </row>
  </sheetData>
  <mergeCells count="3">
    <mergeCell ref="AV8:BC9"/>
    <mergeCell ref="BG8:BV9"/>
    <mergeCell ref="AJ8:AQ9"/>
  </mergeCells>
  <pageMargins left="0.19685039370078741" right="0.19685039370078741" top="0.39370078740157483" bottom="0.39370078740157483" header="0.43307086614173229" footer="0.51181102362204722"/>
  <pageSetup paperSize="8" scale="73" orientation="landscape" r:id="rId1"/>
  <headerFooter alignWithMargins="0">
    <oddHeader>&amp;LBilaga 3 till regeringsbeslut 2019-12-19 III 14</oddHeader>
  </headerFooter>
  <colBreaks count="2" manualBreakCount="2">
    <brk id="11" max="1048575" man="1"/>
    <brk id="5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Diarienummer xmlns="eec14d05-b663-4c4f-ba9e-f91ce218b26b" xsi:nil="true"/>
    <Nyckelord xmlns="eec14d05-b663-4c4f-ba9e-f91ce218b26b" xsi:nil="true"/>
    <_dlc_DocId xmlns="eec14d05-b663-4c4f-ba9e-f91ce218b26b">JMV6WU277ZYR-1834298216-31960</_dlc_DocId>
    <_dlc_DocIdUrl xmlns="eec14d05-b663-4c4f-ba9e-f91ce218b26b">
      <Url>https://dhs.sp.regeringskansliet.se/yta/fi-ofa/sfo/_layouts/15/DocIdRedir.aspx?ID=JMV6WU277ZYR-1834298216-31960</Url>
      <Description>JMV6WU277ZYR-1834298216-31960</Description>
    </_dlc_DocIdUrl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False</openByDefault>
  <xsnScope>/yta/fi-ofa/sfo/Myndigheter och Hovet</xsnScope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E8F02A22B8CAEF4B8192E9DC8D9F7FE1" ma:contentTypeVersion="12" ma:contentTypeDescription="Skapa ny arbetsbok" ma:contentTypeScope="" ma:versionID="2ef3a7a537ba8fbfab305c214da610f6">
  <xsd:schema xmlns:xsd="http://www.w3.org/2001/XMLSchema" xmlns:xs="http://www.w3.org/2001/XMLSchema" xmlns:p="http://schemas.microsoft.com/office/2006/metadata/properties" xmlns:ns3="4e9c2f0c-7bf8-49af-8356-cbf363fc78a7" xmlns:ns4="eec14d05-b663-4c4f-ba9e-f91ce218b26b" xmlns:ns5="cc625d36-bb37-4650-91b9-0c96159295ba" targetNamespace="http://schemas.microsoft.com/office/2006/metadata/properties" ma:root="true" ma:fieldsID="3e0d3914a6eaeec6fc75e44a448226bd" ns3:_="" ns4:_="" ns5:_="">
    <xsd:import namespace="4e9c2f0c-7bf8-49af-8356-cbf363fc78a7"/>
    <xsd:import namespace="eec14d05-b663-4c4f-ba9e-f91ce218b26b"/>
    <xsd:import namespace="cc625d36-bb37-4650-91b9-0c96159295ba"/>
    <xsd:element name="properties">
      <xsd:complexType>
        <xsd:sequence>
          <xsd:element name="documentManagement">
            <xsd:complexType>
              <xsd:all>
                <xsd:element ref="ns4:Diarienummer" minOccurs="0"/>
                <xsd:element ref="ns4:Nyckelord" minOccurs="0"/>
                <xsd:element ref="ns5:k46d94c0acf84ab9a79866a9d8b1905f" minOccurs="0"/>
                <xsd:element ref="ns5:TaxCatchAll" minOccurs="0"/>
                <xsd:element ref="ns5:TaxCatchAllLabel" minOccurs="0"/>
                <xsd:element ref="ns3:DirtyMigration" minOccurs="0"/>
                <xsd:element ref="ns5:edbe0b5c82304c8e847ab7b8c02a77c3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1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RecordNumber">
      <xsd:simpleType>
        <xsd:restriction base="dms:Text"/>
      </xsd:simpleType>
    </xsd:element>
    <xsd:element name="Nyckelord" ma:index="5" nillable="true" ma:displayName="Nyckelord" ma:internalName="RKNyckelord">
      <xsd:simpleType>
        <xsd:restriction base="dms:Text"/>
      </xsd:simpleType>
    </xsd:element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k46d94c0acf84ab9a79866a9d8b1905f" ma:index="6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7" nillable="true" ma:displayName="Global taxonomikolumn" ma:description="" ma:hidden="true" ma:list="{e1938cba-2959-43c3-a77f-283ab2a63118}" ma:internalName="TaxCatchAll" ma:readOnly="false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6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957F2A-6976-4F54-A0C7-E8CCE00BE02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83B5C5D-1FAB-4538-A6E1-A94571132994}">
  <ds:schemaRefs>
    <ds:schemaRef ds:uri="http://schemas.microsoft.com/office/2006/documentManagement/types"/>
    <ds:schemaRef ds:uri="4e9c2f0c-7bf8-49af-8356-cbf363fc78a7"/>
    <ds:schemaRef ds:uri="http://purl.org/dc/elements/1.1/"/>
    <ds:schemaRef ds:uri="cc625d36-bb37-4650-91b9-0c96159295ba"/>
    <ds:schemaRef ds:uri="http://purl.org/dc/dcmitype/"/>
    <ds:schemaRef ds:uri="eec14d05-b663-4c4f-ba9e-f91ce218b26b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88674F6-79ED-4C14-B4FC-45A5CD68199B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051BA5E4-0E7E-4448-9799-CECA5C2B6E8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B1FDA02-B4F6-4EB9-8327-519DF1C4D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eec14d05-b663-4c4f-ba9e-f91ce218b26b"/>
    <ds:schemaRef ds:uri="cc625d36-bb37-4650-91b9-0c9615929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3A1B91A4-7F10-4EC0-9C7D-B1FE537660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RB2020</vt:lpstr>
      <vt:lpstr>'RB2020'!Utskriftsområde</vt:lpstr>
      <vt:lpstr>'RB2020'!Utskriftsrubriker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Nilsson Mats</dc:creator>
  <cp:lastModifiedBy>Susanna Herrera</cp:lastModifiedBy>
  <cp:lastPrinted>2019-12-16T08:23:55Z</cp:lastPrinted>
  <dcterms:created xsi:type="dcterms:W3CDTF">2019-05-13T15:15:25Z</dcterms:created>
  <dcterms:modified xsi:type="dcterms:W3CDTF">2019-12-19T10:48:28Z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0x010100BBA312BF02777149882D207184EC35C00100E8F02A22B8CAEF4B8192E9DC8D9F7FE1</vt:lpwstr>
  </property>
  <property fmtid="{D5CDD505-2E9C-101B-9397-08002B2CF9AE}" pid="3" name="_dlc_DocIdItemGuid">
    <vt:lpwstr>acc23fce-3d16-4e2f-8284-5370a335ab72</vt:lpwstr>
  </property>
  <property fmtid="{D5CDD505-2E9C-101B-9397-08002B2CF9AE}" pid="4" name="Organisation">
    <vt:lpwstr/>
  </property>
  <property fmtid="{D5CDD505-2E9C-101B-9397-08002B2CF9AE}" pid="5" name="ActivityCategory">
    <vt:lpwstr/>
  </property>
</Properties>
</file>