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\\regeringskansliet.se\Userdata\JKN0513\Desktop\RB2021\För beslut\"/>
    </mc:Choice>
  </mc:AlternateContent>
  <xr:revisionPtr revIDLastSave="0" documentId="13_ncr:1_{90EFF130-55DA-42F7-BDF2-5195D02713F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RB2021" sheetId="1" r:id="rId1"/>
    <sheet name="Budget CAP" sheetId="3" state="hidden" r:id="rId2"/>
    <sheet name="RB2019 underlag LBP_Fisk" sheetId="2" state="hidden" r:id="rId3"/>
  </sheets>
  <definedNames>
    <definedName name="_xlnm.Print_Area" localSheetId="0">'RB2021'!$A$1:$I$18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1" i="3" l="1"/>
  <c r="C52" i="3"/>
  <c r="C50" i="3"/>
  <c r="C57" i="3"/>
  <c r="E8" i="1" l="1"/>
  <c r="E9" i="1" s="1"/>
  <c r="K33" i="2" l="1"/>
  <c r="I32" i="2"/>
  <c r="F32" i="2"/>
  <c r="E32" i="2"/>
  <c r="J31" i="2"/>
  <c r="I31" i="2"/>
  <c r="F31" i="2"/>
  <c r="J30" i="2"/>
  <c r="J33" i="2" s="1"/>
  <c r="I30" i="2"/>
  <c r="H30" i="2"/>
  <c r="H33" i="2" s="1"/>
  <c r="G30" i="2"/>
  <c r="G33" i="2" s="1"/>
  <c r="F30" i="2"/>
  <c r="K28" i="2"/>
  <c r="J28" i="2"/>
  <c r="I28" i="2"/>
  <c r="F28" i="2"/>
  <c r="E28" i="2"/>
  <c r="E25" i="2"/>
  <c r="F24" i="2"/>
  <c r="E24" i="2"/>
  <c r="F15" i="2"/>
  <c r="E15" i="2"/>
  <c r="F14" i="2"/>
  <c r="E14" i="2"/>
  <c r="H13" i="2"/>
  <c r="H16" i="2" s="1"/>
  <c r="G13" i="2"/>
  <c r="G16" i="2" s="1"/>
  <c r="K11" i="2"/>
  <c r="K13" i="2" s="1"/>
  <c r="J11" i="2"/>
  <c r="J13" i="2" s="1"/>
  <c r="J16" i="2" s="1"/>
  <c r="I11" i="2"/>
  <c r="I13" i="2" s="1"/>
  <c r="I16" i="2" s="1"/>
  <c r="F11" i="2"/>
  <c r="E8" i="2"/>
  <c r="E7" i="2"/>
  <c r="F6" i="2"/>
  <c r="E6" i="2"/>
  <c r="F13" i="2" l="1"/>
  <c r="I33" i="2"/>
  <c r="F33" i="2"/>
  <c r="E13" i="2"/>
  <c r="F16" i="2"/>
  <c r="E31" i="2"/>
  <c r="E11" i="2"/>
  <c r="E16" i="2" s="1"/>
  <c r="K16" i="2"/>
  <c r="E30" i="2"/>
  <c r="E33" i="2" s="1"/>
  <c r="N33" i="2" s="1"/>
  <c r="D4" i="1" l="1"/>
  <c r="I5" i="1"/>
  <c r="G9" i="1"/>
  <c r="H9" i="1"/>
  <c r="F9" i="1"/>
  <c r="I10" i="1"/>
  <c r="I8" i="1"/>
  <c r="I9" i="1" s="1"/>
  <c r="D9" i="1" l="1"/>
  <c r="D8" i="1"/>
  <c r="C5" i="1" l="1"/>
  <c r="H12" i="1" l="1"/>
  <c r="I12" i="1"/>
  <c r="C10" i="1"/>
  <c r="C11" i="1"/>
  <c r="D12" i="1" l="1"/>
  <c r="C8" i="1"/>
  <c r="E12" i="1"/>
  <c r="G12" i="1"/>
  <c r="F12" i="1" l="1"/>
  <c r="C9" i="1"/>
  <c r="C12" i="1" s="1"/>
  <c r="C4" i="1" l="1"/>
</calcChain>
</file>

<file path=xl/sharedStrings.xml><?xml version="1.0" encoding="utf-8"?>
<sst xmlns="http://schemas.openxmlformats.org/spreadsheetml/2006/main" count="126" uniqueCount="82">
  <si>
    <t>Verksamhetsinvesteringar per objekt</t>
  </si>
  <si>
    <t>Finansiering</t>
  </si>
  <si>
    <t>Total kostnad för hela projektet</t>
  </si>
  <si>
    <t xml:space="preserve">Anslag 1:17/1:18 TA-medel </t>
  </si>
  <si>
    <t>Anslag 1:12/1:13 TA-medel</t>
  </si>
  <si>
    <t>Anslag 1:8 Förvaltning</t>
  </si>
  <si>
    <t>Summa finansiering</t>
  </si>
  <si>
    <t>2022 Beräknat</t>
  </si>
  <si>
    <t>Lån i Riksgäldskonto</t>
  </si>
  <si>
    <t>Not</t>
  </si>
  <si>
    <t>Datasystem IT-projekt EU-reform för programperiod 2014-2020</t>
  </si>
  <si>
    <t>Datasystem IT-projekt ny EU-reform för programperiod 2021-2027</t>
  </si>
  <si>
    <r>
      <rPr>
        <b/>
        <sz val="9"/>
        <color theme="1"/>
        <rFont val="Arial"/>
        <family val="2"/>
        <scheme val="minor"/>
      </rPr>
      <t>Not 4</t>
    </r>
    <r>
      <rPr>
        <sz val="9"/>
        <color theme="1"/>
        <rFont val="Arial"/>
        <family val="2"/>
        <scheme val="minor"/>
      </rPr>
      <t>, Avser utgifter som  kostnadsförts aktuellt år. Fördelningen mellan vad som lånas och vad som tas som kostnad respektive år kan förändras i beräkningar framöver.</t>
    </r>
  </si>
  <si>
    <t xml:space="preserve"> </t>
  </si>
  <si>
    <t>Ackum-ulerat utfall t.o.m 2019</t>
  </si>
  <si>
    <t>2020 prognos</t>
  </si>
  <si>
    <t>2021 Budget</t>
  </si>
  <si>
    <t>2023 Beräknat</t>
  </si>
  <si>
    <r>
      <rPr>
        <b/>
        <sz val="9"/>
        <color theme="1"/>
        <rFont val="Arial"/>
        <family val="2"/>
        <scheme val="minor"/>
      </rPr>
      <t>Not 1</t>
    </r>
    <r>
      <rPr>
        <sz val="9"/>
        <color theme="1"/>
        <rFont val="Arial"/>
        <family val="2"/>
        <scheme val="minor"/>
      </rPr>
      <t>, IT-utveckling Jorden 2.0 samt Basen ingår för åren 2019-2021. Utvecklingen hänförs till den nya programperioden.</t>
    </r>
  </si>
  <si>
    <t>Investeringsplan för Jordbruksverket</t>
  </si>
  <si>
    <t>Ackum-ulerat utfall t.o.m 2018</t>
  </si>
  <si>
    <t>2019 prognos</t>
  </si>
  <si>
    <t>2020 Budget</t>
  </si>
  <si>
    <t>2021 Beräknat</t>
  </si>
  <si>
    <t xml:space="preserve"> Datasystem it-projekt ny EU-reform för programperiod 2014-2020</t>
  </si>
  <si>
    <t>Datasystem it-projekt Jorden 2.0 samt Basen</t>
  </si>
  <si>
    <t xml:space="preserve"> Datasystem it-projekt ny EU-reform för programperiod 2021-2027</t>
  </si>
  <si>
    <r>
      <t>Lån i Riksgäldskonto</t>
    </r>
    <r>
      <rPr>
        <vertAlign val="superscript"/>
        <sz val="11"/>
        <color theme="1"/>
        <rFont val="Arial"/>
        <family val="2"/>
        <scheme val="minor"/>
      </rPr>
      <t>1)2)</t>
    </r>
  </si>
  <si>
    <t>Direkta kostnader:</t>
  </si>
  <si>
    <t>Anslag 1:8 Jordbruksverkets förvaltningsanslag</t>
  </si>
  <si>
    <t>Anslag 1:17/1:18 TA-medel Landsbygdsprogrammet</t>
  </si>
  <si>
    <t>Anslag 1:12/1:13 TA-medel Havs- och fiskeriprogrammet</t>
  </si>
  <si>
    <t>1) Avskrivningar (amorteringar) på datasystem programperiod 2014-2020 finansieras med anslagen 1:8, 1:17/1:18 samt 1:12/1:13 under åren 2014-2024.</t>
  </si>
  <si>
    <t>1) Avskrivningar för programperioden 2021-2027 börjar 2023.</t>
  </si>
  <si>
    <t>Alternativ tabell:</t>
  </si>
  <si>
    <t>Ackum-ulerat utfall t.o.m 2017</t>
  </si>
  <si>
    <t>2018 prognos</t>
  </si>
  <si>
    <t>2019 Budget</t>
  </si>
  <si>
    <t>2020 Beräknat</t>
  </si>
  <si>
    <r>
      <t xml:space="preserve"> Datasystem it-projekt ny EU-reform för programperiod 2021-2027</t>
    </r>
    <r>
      <rPr>
        <vertAlign val="superscript"/>
        <sz val="11"/>
        <color theme="1"/>
        <rFont val="Calibri"/>
        <family val="2"/>
      </rPr>
      <t>1)</t>
    </r>
  </si>
  <si>
    <t>Lån i Riksgäldskonto respektive år</t>
  </si>
  <si>
    <t>Kostnader för direkta kostnader och avskrivningar:</t>
  </si>
  <si>
    <r>
      <t>Summa finansiering</t>
    </r>
    <r>
      <rPr>
        <b/>
        <vertAlign val="superscript"/>
        <sz val="11"/>
        <color theme="1"/>
        <rFont val="Arial"/>
        <family val="2"/>
        <scheme val="minor"/>
      </rPr>
      <t>2)</t>
    </r>
  </si>
  <si>
    <t>Avstämning</t>
  </si>
  <si>
    <t>2) Det kvarstår avskrivningar/amorteringar på lån för reformarbetet 2014-2020 om 11 762 tkr för 2023 och 2 794 tkr år 20124.</t>
  </si>
  <si>
    <t>Bilaga 3 till regeringsbeslut 2019</t>
  </si>
  <si>
    <t>2024-2025 Beräknat</t>
  </si>
  <si>
    <t>Totalt</t>
  </si>
  <si>
    <t>CAP efter 2020</t>
  </si>
  <si>
    <t>Lön och adm.ers verksamhetspersonal (aktiveringsbar del)</t>
  </si>
  <si>
    <t>Adm.ers verksamhetspersonal (ej aktiveringsbar del)</t>
  </si>
  <si>
    <t>Lön och adm.ers IT-personal (aktiveringsbar del)</t>
  </si>
  <si>
    <t>Adm.ers IT-personal (ej aktiveringsbar del)</t>
  </si>
  <si>
    <t xml:space="preserve">IT-konsulter </t>
  </si>
  <si>
    <t>Adm ers IT-konsulter (aktiveringsbar del)</t>
  </si>
  <si>
    <t>Adm ers IT-konsulter (ej aktiveringsbar del)</t>
  </si>
  <si>
    <t>Övriga köpta tjänster</t>
  </si>
  <si>
    <t>Resor och utbildning m.m.</t>
  </si>
  <si>
    <t>Summa</t>
  </si>
  <si>
    <t>Att aktivera 50% 2021, 60% 2022 och 75% 2023 - 2025</t>
  </si>
  <si>
    <t>varav IT-konsulter</t>
  </si>
  <si>
    <t>varav projektintäkt</t>
  </si>
  <si>
    <t>Jorden 2.0 - aktiveringsbart</t>
  </si>
  <si>
    <t>Att aktivera 90%</t>
  </si>
  <si>
    <t>Basen (planeras vara klart sept 2021)</t>
  </si>
  <si>
    <t>Att aktivera 75%</t>
  </si>
  <si>
    <t>Total utgift</t>
  </si>
  <si>
    <t>Varav aktivering/investering</t>
  </si>
  <si>
    <t>Varav kostnad per år</t>
  </si>
  <si>
    <t>2019</t>
  </si>
  <si>
    <t>2020</t>
  </si>
  <si>
    <t>2021</t>
  </si>
  <si>
    <t>2022</t>
  </si>
  <si>
    <t>2023</t>
  </si>
  <si>
    <t>2024</t>
  </si>
  <si>
    <t>2025</t>
  </si>
  <si>
    <t>Tillkommer Jorden, Atlas mm för 2020</t>
  </si>
  <si>
    <t>Total utgift (för 2020 inkl Jorden, Atlas mm)</t>
  </si>
  <si>
    <t>uppdaterat 2020-11-02</t>
  </si>
  <si>
    <r>
      <rPr>
        <b/>
        <sz val="9"/>
        <color theme="1"/>
        <rFont val="Arial"/>
        <family val="2"/>
        <scheme val="minor"/>
      </rPr>
      <t>Not 3</t>
    </r>
    <r>
      <rPr>
        <sz val="9"/>
        <color theme="1"/>
        <rFont val="Arial"/>
        <family val="2"/>
        <scheme val="minor"/>
      </rPr>
      <t xml:space="preserve">, Avskrivningar på IT-system för </t>
    </r>
    <r>
      <rPr>
        <b/>
        <sz val="9"/>
        <color theme="1"/>
        <rFont val="Arial"/>
        <family val="2"/>
        <scheme val="minor"/>
      </rPr>
      <t>programperiod 2014-2020</t>
    </r>
    <r>
      <rPr>
        <sz val="9"/>
        <color theme="1"/>
        <rFont val="Arial"/>
        <family val="2"/>
        <scheme val="minor"/>
      </rPr>
      <t xml:space="preserve"> finansieras med anslagen 1:8, 1:12/1:13 samt 1:17/1:18 under åren 2014-2025. Efter 2022 återstår det ca 27 000 tkr i avskrivningar som belastar åren 2023-2025.</t>
    </r>
  </si>
  <si>
    <r>
      <rPr>
        <b/>
        <sz val="9"/>
        <color theme="1"/>
        <rFont val="Arial"/>
        <family val="2"/>
        <scheme val="minor"/>
      </rPr>
      <t>Not 2</t>
    </r>
    <r>
      <rPr>
        <sz val="9"/>
        <color theme="1"/>
        <rFont val="Arial"/>
        <family val="2"/>
        <scheme val="minor"/>
      </rPr>
      <t xml:space="preserve">, I dagsläget ser Jordbruksverket uppenbara problem med att kunna ha allt klart gällande jordbrukarstöden till programstarten 2023. Totalkostnaden är preliminär eftersom EU-regelverket inte är fastställt och att det inte finns en fullständig bild av vad som kommer fastställas nationellt. </t>
    </r>
  </si>
  <si>
    <t>Bilaga 3 till beslut II 3 vid regeringssammanträde den 22 december 2020, N2020/03158 m.fl.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</si>
</sst>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9"/>
      <color theme="1"/>
      <name val="Arial"/>
      <family val="2"/>
      <scheme val="minor"/>
    </font>
    <font>
      <sz val="16"/>
      <color theme="1"/>
      <name val="Calibri"/>
      <family val="2"/>
    </font>
    <font>
      <sz val="10"/>
      <color theme="1"/>
      <name val="Arial"/>
      <family val="2"/>
      <scheme val="minor"/>
    </font>
    <font>
      <sz val="9"/>
      <color theme="1"/>
      <name val="Calibri"/>
      <family val="2"/>
    </font>
    <font>
      <b/>
      <sz val="9"/>
      <color theme="1"/>
      <name val="Arial"/>
      <family val="2"/>
      <scheme val="minor"/>
    </font>
    <font>
      <vertAlign val="superscript"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vertAlign val="superscript"/>
      <sz val="11"/>
      <color theme="1"/>
      <name val="Calibri"/>
      <family val="2"/>
    </font>
    <font>
      <b/>
      <vertAlign val="superscript"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3" fontId="0" fillId="0" borderId="1" xfId="0" applyNumberFormat="1" applyFill="1" applyBorder="1"/>
    <xf numFmtId="0" fontId="0" fillId="0" borderId="0" xfId="0" applyFill="1"/>
    <xf numFmtId="0" fontId="0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vertical="center"/>
    </xf>
    <xf numFmtId="0" fontId="0" fillId="0" borderId="0" xfId="0" quotePrefix="1"/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0" fillId="0" borderId="2" xfId="0" applyBorder="1"/>
    <xf numFmtId="0" fontId="1" fillId="0" borderId="2" xfId="0" applyFont="1" applyBorder="1"/>
    <xf numFmtId="3" fontId="1" fillId="0" borderId="1" xfId="0" applyNumberFormat="1" applyFont="1" applyBorder="1"/>
    <xf numFmtId="3" fontId="0" fillId="0" borderId="0" xfId="0" applyNumberFormat="1"/>
    <xf numFmtId="3" fontId="0" fillId="0" borderId="1" xfId="0" applyNumberFormat="1" applyFont="1" applyBorder="1"/>
    <xf numFmtId="0" fontId="0" fillId="0" borderId="1" xfId="0" applyFont="1" applyBorder="1" applyAlignment="1">
      <alignment wrapText="1"/>
    </xf>
    <xf numFmtId="0" fontId="1" fillId="0" borderId="1" xfId="0" applyFont="1" applyFill="1" applyBorder="1"/>
    <xf numFmtId="0" fontId="3" fillId="0" borderId="0" xfId="0" applyFont="1"/>
    <xf numFmtId="0" fontId="5" fillId="0" borderId="0" xfId="0" applyFont="1"/>
    <xf numFmtId="3" fontId="5" fillId="0" borderId="0" xfId="0" applyNumberFormat="1" applyFont="1"/>
    <xf numFmtId="14" fontId="0" fillId="0" borderId="0" xfId="0" quotePrefix="1" applyNumberFormat="1"/>
    <xf numFmtId="0" fontId="0" fillId="0" borderId="1" xfId="0" applyFill="1" applyBorder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quotePrefix="1" applyFont="1" applyFill="1"/>
    <xf numFmtId="0" fontId="6" fillId="0" borderId="0" xfId="0" applyFont="1" applyFill="1" applyAlignment="1">
      <alignment vertical="center"/>
    </xf>
    <xf numFmtId="3" fontId="0" fillId="0" borderId="1" xfId="0" applyNumberFormat="1" applyFont="1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/>
    <xf numFmtId="0" fontId="0" fillId="0" borderId="0" xfId="0" applyBorder="1"/>
    <xf numFmtId="3" fontId="1" fillId="0" borderId="0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0" fillId="0" borderId="4" xfId="0" applyBorder="1"/>
    <xf numFmtId="0" fontId="0" fillId="0" borderId="3" xfId="0" applyBorder="1"/>
    <xf numFmtId="3" fontId="0" fillId="2" borderId="1" xfId="0" applyNumberFormat="1" applyFont="1" applyFill="1" applyBorder="1"/>
    <xf numFmtId="0" fontId="1" fillId="3" borderId="0" xfId="0" applyFont="1" applyFill="1"/>
    <xf numFmtId="0" fontId="0" fillId="0" borderId="5" xfId="0" applyBorder="1"/>
    <xf numFmtId="0" fontId="0" fillId="0" borderId="6" xfId="0" applyBorder="1"/>
    <xf numFmtId="3" fontId="0" fillId="0" borderId="1" xfId="0" applyNumberFormat="1" applyBorder="1"/>
    <xf numFmtId="0" fontId="9" fillId="0" borderId="2" xfId="0" applyFont="1" applyBorder="1"/>
    <xf numFmtId="3" fontId="0" fillId="3" borderId="1" xfId="0" applyNumberFormat="1" applyFill="1" applyBorder="1"/>
    <xf numFmtId="0" fontId="0" fillId="4" borderId="0" xfId="0" applyFill="1"/>
    <xf numFmtId="0" fontId="0" fillId="0" borderId="7" xfId="0" applyBorder="1"/>
    <xf numFmtId="3" fontId="0" fillId="4" borderId="1" xfId="0" applyNumberFormat="1" applyFill="1" applyBorder="1"/>
    <xf numFmtId="0" fontId="1" fillId="4" borderId="0" xfId="0" applyFont="1" applyFill="1"/>
    <xf numFmtId="0" fontId="3" fillId="0" borderId="8" xfId="0" applyFont="1" applyFill="1" applyBorder="1"/>
    <xf numFmtId="3" fontId="0" fillId="0" borderId="0" xfId="0" applyNumberFormat="1" applyFont="1"/>
    <xf numFmtId="3" fontId="1" fillId="0" borderId="0" xfId="0" applyNumberFormat="1" applyFont="1"/>
    <xf numFmtId="0" fontId="0" fillId="0" borderId="0" xfId="0" applyFont="1"/>
    <xf numFmtId="0" fontId="0" fillId="2" borderId="0" xfId="0" applyFill="1"/>
    <xf numFmtId="3" fontId="0" fillId="2" borderId="0" xfId="0" applyNumberFormat="1" applyFont="1" applyFill="1"/>
    <xf numFmtId="3" fontId="1" fillId="2" borderId="0" xfId="0" quotePrefix="1" applyNumberFormat="1" applyFont="1" applyFill="1" applyAlignment="1">
      <alignment horizontal="right"/>
    </xf>
    <xf numFmtId="0" fontId="9" fillId="0" borderId="0" xfId="0" applyFont="1"/>
    <xf numFmtId="3" fontId="9" fillId="0" borderId="0" xfId="0" applyNumberFormat="1" applyFo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RK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00328B"/>
      </a:accent1>
      <a:accent2>
        <a:srgbClr val="007CC3"/>
      </a:accent2>
      <a:accent3>
        <a:srgbClr val="14467F"/>
      </a:accent3>
      <a:accent4>
        <a:srgbClr val="333333"/>
      </a:accent4>
      <a:accent5>
        <a:srgbClr val="958E8A"/>
      </a:accent5>
      <a:accent6>
        <a:srgbClr val="4D605E"/>
      </a:accent6>
      <a:hlink>
        <a:srgbClr val="0000FF"/>
      </a:hlink>
      <a:folHlink>
        <a:srgbClr val="800080"/>
      </a:folHlink>
    </a:clrScheme>
    <a:fontScheme name="RK 2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zoomScale="160" zoomScaleNormal="160" workbookViewId="0"/>
  </sheetViews>
  <sheetFormatPr defaultRowHeight="14.25" x14ac:dyDescent="0.2"/>
  <cols>
    <col min="1" max="1" width="51" customWidth="1"/>
    <col min="2" max="2" width="5.5" style="7" customWidth="1"/>
    <col min="4" max="4" width="10.125" bestFit="1" customWidth="1"/>
    <col min="5" max="5" width="12.125" bestFit="1" customWidth="1"/>
    <col min="12" max="12" width="32.125" customWidth="1"/>
  </cols>
  <sheetData>
    <row r="1" spans="1:12" ht="21" x14ac:dyDescent="0.2">
      <c r="A1" s="5" t="s">
        <v>81</v>
      </c>
      <c r="D1" s="22"/>
      <c r="L1" t="s">
        <v>78</v>
      </c>
    </row>
    <row r="2" spans="1:12" ht="21" x14ac:dyDescent="0.2">
      <c r="A2" s="5"/>
      <c r="D2" s="6"/>
    </row>
    <row r="3" spans="1:12" ht="57.75" x14ac:dyDescent="0.25">
      <c r="A3" s="8" t="s">
        <v>0</v>
      </c>
      <c r="B3" s="9" t="s">
        <v>9</v>
      </c>
      <c r="C3" s="17" t="s">
        <v>2</v>
      </c>
      <c r="D3" s="10" t="s">
        <v>14</v>
      </c>
      <c r="E3" s="10" t="s">
        <v>15</v>
      </c>
      <c r="F3" s="10" t="s">
        <v>16</v>
      </c>
      <c r="G3" s="10" t="s">
        <v>7</v>
      </c>
      <c r="H3" s="10" t="s">
        <v>17</v>
      </c>
      <c r="I3" s="10" t="s">
        <v>46</v>
      </c>
      <c r="L3" s="29"/>
    </row>
    <row r="4" spans="1:12" ht="15" x14ac:dyDescent="0.25">
      <c r="A4" s="11" t="s">
        <v>10</v>
      </c>
      <c r="B4" s="33"/>
      <c r="C4" s="16">
        <f>SUM(D4:I4)</f>
        <v>740372</v>
      </c>
      <c r="D4" s="16">
        <f>589782+82811+38490</f>
        <v>711083</v>
      </c>
      <c r="E4" s="28">
        <v>29289</v>
      </c>
      <c r="F4" s="28">
        <v>0</v>
      </c>
      <c r="G4" s="3">
        <v>0</v>
      </c>
      <c r="H4" s="3">
        <v>0</v>
      </c>
      <c r="I4" s="3">
        <v>0</v>
      </c>
      <c r="L4" s="2"/>
    </row>
    <row r="5" spans="1:12" ht="15" x14ac:dyDescent="0.25">
      <c r="A5" s="4" t="s">
        <v>11</v>
      </c>
      <c r="B5" s="33">
        <v>1.2</v>
      </c>
      <c r="C5" s="16">
        <f>SUM(D5:I5)</f>
        <v>509429</v>
      </c>
      <c r="D5" s="16">
        <v>5841</v>
      </c>
      <c r="E5" s="28">
        <v>42405</v>
      </c>
      <c r="F5" s="28">
        <v>105137</v>
      </c>
      <c r="G5" s="16">
        <v>120880</v>
      </c>
      <c r="H5" s="16">
        <v>82418</v>
      </c>
      <c r="I5" s="16">
        <f>82418+70330</f>
        <v>152748</v>
      </c>
      <c r="L5" s="2"/>
    </row>
    <row r="6" spans="1:12" s="7" customFormat="1" ht="15" x14ac:dyDescent="0.25">
      <c r="A6" s="12"/>
      <c r="B6" s="33"/>
      <c r="C6" s="8"/>
      <c r="D6" s="9"/>
      <c r="E6" s="9"/>
      <c r="F6" s="9"/>
      <c r="G6" s="9"/>
      <c r="H6" s="9"/>
      <c r="I6" s="9" t="s">
        <v>13</v>
      </c>
      <c r="L6" s="2"/>
    </row>
    <row r="7" spans="1:12" ht="15" x14ac:dyDescent="0.25">
      <c r="A7" s="13" t="s">
        <v>1</v>
      </c>
      <c r="B7" s="33"/>
      <c r="C7" s="8"/>
      <c r="D7" s="9"/>
      <c r="E7" s="9"/>
      <c r="F7" s="9"/>
      <c r="G7" s="9"/>
      <c r="H7" s="9"/>
      <c r="I7" s="9"/>
    </row>
    <row r="8" spans="1:12" x14ac:dyDescent="0.2">
      <c r="A8" s="12" t="s">
        <v>8</v>
      </c>
      <c r="B8" s="34">
        <v>3</v>
      </c>
      <c r="C8" s="16">
        <f>SUM(D8:I8)</f>
        <v>705821</v>
      </c>
      <c r="D8" s="1">
        <f>269100+53402+26700+4186</f>
        <v>353388</v>
      </c>
      <c r="E8" s="1">
        <f>33793+20882</f>
        <v>54675</v>
      </c>
      <c r="F8" s="1">
        <v>63817</v>
      </c>
      <c r="G8" s="28">
        <v>68168</v>
      </c>
      <c r="H8" s="28">
        <v>58098</v>
      </c>
      <c r="I8" s="16">
        <f>58098+49577</f>
        <v>107675</v>
      </c>
    </row>
    <row r="9" spans="1:12" x14ac:dyDescent="0.2">
      <c r="A9" s="9" t="s">
        <v>5</v>
      </c>
      <c r="B9" s="35">
        <v>4</v>
      </c>
      <c r="C9" s="16">
        <f t="shared" ref="C9:C11" si="0">SUM(D9:I9)</f>
        <v>376251</v>
      </c>
      <c r="D9" s="1">
        <f>232617+29409+11791+1655</f>
        <v>275472</v>
      </c>
      <c r="E9" s="1">
        <f>E4+E5-E8-1</f>
        <v>17018</v>
      </c>
      <c r="F9" s="1">
        <f>F4+F5-F8-F10</f>
        <v>17521</v>
      </c>
      <c r="G9" s="1">
        <f t="shared" ref="G9:I9" si="1">G4+G5-G8-G10</f>
        <v>26972</v>
      </c>
      <c r="H9" s="1">
        <f t="shared" si="1"/>
        <v>14195</v>
      </c>
      <c r="I9" s="1">
        <f t="shared" si="1"/>
        <v>25073</v>
      </c>
      <c r="K9" s="15"/>
    </row>
    <row r="10" spans="1:12" x14ac:dyDescent="0.2">
      <c r="A10" s="9" t="s">
        <v>3</v>
      </c>
      <c r="B10" s="35">
        <v>4</v>
      </c>
      <c r="C10" s="16">
        <f t="shared" si="0"/>
        <v>165003</v>
      </c>
      <c r="D10" s="1">
        <v>85339</v>
      </c>
      <c r="E10" s="1">
        <v>0</v>
      </c>
      <c r="F10" s="1">
        <v>23799</v>
      </c>
      <c r="G10" s="1">
        <v>25740</v>
      </c>
      <c r="H10" s="1">
        <v>10125</v>
      </c>
      <c r="I10" s="1">
        <f>10000+10000</f>
        <v>20000</v>
      </c>
    </row>
    <row r="11" spans="1:12" x14ac:dyDescent="0.2">
      <c r="A11" s="9" t="s">
        <v>4</v>
      </c>
      <c r="B11" s="35">
        <v>4</v>
      </c>
      <c r="C11" s="16">
        <f t="shared" si="0"/>
        <v>2726</v>
      </c>
      <c r="D11" s="1">
        <v>2726</v>
      </c>
      <c r="E11" s="1">
        <v>0</v>
      </c>
      <c r="F11" s="1">
        <v>0</v>
      </c>
      <c r="G11" s="23">
        <v>0</v>
      </c>
      <c r="H11" s="23">
        <v>0</v>
      </c>
      <c r="I11" s="23">
        <v>0</v>
      </c>
    </row>
    <row r="12" spans="1:12" ht="15" x14ac:dyDescent="0.25">
      <c r="A12" s="18" t="s">
        <v>6</v>
      </c>
      <c r="B12" s="35"/>
      <c r="C12" s="14">
        <f>SUM(C8:C11)</f>
        <v>1249801</v>
      </c>
      <c r="D12" s="14">
        <f>SUM(D8:D11)</f>
        <v>716925</v>
      </c>
      <c r="E12" s="14">
        <f>SUM(E8:E11)</f>
        <v>71693</v>
      </c>
      <c r="F12" s="14">
        <f t="shared" ref="F12:I12" si="2">SUM(F8:F11)</f>
        <v>105137</v>
      </c>
      <c r="G12" s="14">
        <f t="shared" si="2"/>
        <v>120880</v>
      </c>
      <c r="H12" s="14">
        <f t="shared" si="2"/>
        <v>82418</v>
      </c>
      <c r="I12" s="14">
        <f t="shared" si="2"/>
        <v>152748</v>
      </c>
      <c r="L12" s="15"/>
    </row>
    <row r="13" spans="1:12" s="7" customFormat="1" ht="15" x14ac:dyDescent="0.25">
      <c r="A13" s="30"/>
      <c r="B13" s="31"/>
      <c r="C13" s="32"/>
      <c r="D13" s="32"/>
      <c r="E13" s="32"/>
      <c r="F13" s="32"/>
      <c r="G13" s="32"/>
      <c r="H13" s="32"/>
      <c r="I13" s="32"/>
      <c r="L13" s="15"/>
    </row>
    <row r="14" spans="1:12" s="7" customFormat="1" ht="15" x14ac:dyDescent="0.25">
      <c r="A14" s="62" t="s">
        <v>18</v>
      </c>
      <c r="B14" s="61"/>
      <c r="C14" s="61"/>
      <c r="D14" s="61"/>
      <c r="E14" s="61"/>
      <c r="F14" s="61"/>
      <c r="G14" s="61"/>
      <c r="H14" s="61"/>
      <c r="I14" s="32"/>
      <c r="L14" s="15"/>
    </row>
    <row r="15" spans="1:12" s="7" customFormat="1" ht="29.1" customHeight="1" x14ac:dyDescent="0.25">
      <c r="A15" s="63" t="s">
        <v>80</v>
      </c>
      <c r="B15" s="64"/>
      <c r="C15" s="64"/>
      <c r="D15" s="64"/>
      <c r="E15" s="64"/>
      <c r="F15" s="64"/>
      <c r="G15" s="64"/>
      <c r="H15" s="64"/>
      <c r="I15" s="32"/>
      <c r="L15" s="15"/>
    </row>
    <row r="16" spans="1:12" ht="27" customHeight="1" x14ac:dyDescent="0.2">
      <c r="A16" s="65" t="s">
        <v>79</v>
      </c>
      <c r="B16" s="66"/>
      <c r="C16" s="66"/>
      <c r="D16" s="66"/>
      <c r="E16" s="66"/>
      <c r="F16" s="66"/>
      <c r="G16" s="66"/>
      <c r="H16" s="66"/>
      <c r="I16" s="19"/>
      <c r="J16" s="19"/>
      <c r="K16" s="20"/>
      <c r="L16" s="21"/>
    </row>
    <row r="17" spans="1:10" x14ac:dyDescent="0.2">
      <c r="A17" s="62" t="s">
        <v>12</v>
      </c>
      <c r="B17" s="61"/>
      <c r="C17" s="61"/>
      <c r="D17" s="61"/>
      <c r="E17" s="61"/>
      <c r="F17" s="61"/>
      <c r="G17" s="61"/>
      <c r="H17" s="61"/>
      <c r="I17" s="61"/>
      <c r="J17" s="19"/>
    </row>
    <row r="18" spans="1:10" s="2" customFormat="1" ht="46.5" customHeight="1" x14ac:dyDescent="0.2">
      <c r="A18" s="63"/>
      <c r="B18" s="64"/>
      <c r="C18" s="64"/>
      <c r="D18" s="64"/>
      <c r="E18" s="64"/>
      <c r="F18" s="64"/>
      <c r="G18" s="64"/>
      <c r="H18" s="64"/>
      <c r="I18" s="64"/>
      <c r="J18" s="25"/>
    </row>
    <row r="19" spans="1:10" s="2" customFormat="1" x14ac:dyDescent="0.2">
      <c r="A19" s="24"/>
      <c r="B19" s="25"/>
      <c r="C19" s="25"/>
      <c r="D19" s="26"/>
      <c r="E19" s="25"/>
      <c r="F19" s="25"/>
      <c r="G19" s="25"/>
      <c r="H19" s="25"/>
      <c r="I19" s="25"/>
      <c r="J19" s="25"/>
    </row>
    <row r="20" spans="1:10" s="2" customFormat="1" x14ac:dyDescent="0.2">
      <c r="A20" s="60"/>
      <c r="B20" s="67"/>
      <c r="C20" s="67"/>
      <c r="D20" s="67"/>
      <c r="E20" s="67"/>
      <c r="F20" s="67"/>
      <c r="G20" s="67"/>
      <c r="H20" s="67"/>
      <c r="I20" s="67"/>
      <c r="J20" s="25"/>
    </row>
    <row r="21" spans="1:10" s="2" customFormat="1" x14ac:dyDescent="0.2">
      <c r="A21" s="60"/>
      <c r="B21" s="61"/>
      <c r="C21" s="61"/>
      <c r="D21" s="61"/>
      <c r="E21" s="61"/>
      <c r="F21" s="61"/>
      <c r="G21" s="61"/>
      <c r="H21" s="61"/>
      <c r="I21" s="61"/>
      <c r="J21" s="25"/>
    </row>
    <row r="22" spans="1:10" s="2" customFormat="1" x14ac:dyDescent="0.2">
      <c r="A22" s="27"/>
      <c r="B22" s="25"/>
      <c r="C22" s="25"/>
      <c r="D22" s="25"/>
      <c r="E22" s="25"/>
      <c r="F22" s="25"/>
      <c r="G22" s="25"/>
      <c r="H22" s="25"/>
      <c r="I22" s="25"/>
      <c r="J22" s="25"/>
    </row>
    <row r="23" spans="1:10" s="2" customFormat="1" x14ac:dyDescent="0.2"/>
    <row r="24" spans="1:10" s="2" customFormat="1" x14ac:dyDescent="0.2"/>
    <row r="25" spans="1:10" s="2" customFormat="1" x14ac:dyDescent="0.2"/>
  </sheetData>
  <mergeCells count="7">
    <mergeCell ref="A21:I21"/>
    <mergeCell ref="A14:H14"/>
    <mergeCell ref="A15:H15"/>
    <mergeCell ref="A16:H16"/>
    <mergeCell ref="A17:I17"/>
    <mergeCell ref="A18:I18"/>
    <mergeCell ref="A20:I20"/>
  </mergeCells>
  <pageMargins left="0.7" right="0.7" top="0.75" bottom="0.75" header="0.3" footer="0.3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57"/>
  <sheetViews>
    <sheetView workbookViewId="0">
      <pane xSplit="6195" ySplit="840" topLeftCell="B44" activePane="bottomRight"/>
      <selection activeCell="H50" sqref="G50:H50"/>
      <selection pane="topRight" activeCell="H50" sqref="G50:H50"/>
      <selection pane="bottomLeft" activeCell="H50" sqref="G50:H50"/>
      <selection pane="bottomRight" activeCell="H50" sqref="G50:H50"/>
    </sheetView>
  </sheetViews>
  <sheetFormatPr defaultRowHeight="14.25" x14ac:dyDescent="0.2"/>
  <cols>
    <col min="1" max="1" width="47.875" bestFit="1" customWidth="1"/>
    <col min="2" max="9" width="11.75" style="52" bestFit="1" customWidth="1"/>
    <col min="10" max="10" width="8.625" style="52"/>
  </cols>
  <sheetData>
    <row r="2" spans="1:10" s="55" customFormat="1" ht="15" x14ac:dyDescent="0.25">
      <c r="B2" s="57" t="s">
        <v>69</v>
      </c>
      <c r="C2" s="57" t="s">
        <v>70</v>
      </c>
      <c r="D2" s="57" t="s">
        <v>71</v>
      </c>
      <c r="E2" s="57" t="s">
        <v>72</v>
      </c>
      <c r="F2" s="57" t="s">
        <v>73</v>
      </c>
      <c r="G2" s="57" t="s">
        <v>74</v>
      </c>
      <c r="H2" s="57" t="s">
        <v>75</v>
      </c>
      <c r="I2" s="56" t="s">
        <v>47</v>
      </c>
      <c r="J2" s="56"/>
    </row>
    <row r="3" spans="1:10" ht="15" x14ac:dyDescent="0.25">
      <c r="A3" s="37" t="s">
        <v>48</v>
      </c>
    </row>
    <row r="4" spans="1:10" x14ac:dyDescent="0.2">
      <c r="A4" t="s">
        <v>49</v>
      </c>
      <c r="D4" s="52">
        <v>12574.016</v>
      </c>
      <c r="E4" s="52">
        <v>25210.370370370365</v>
      </c>
      <c r="F4" s="52">
        <v>17188.888888888887</v>
      </c>
      <c r="G4" s="52">
        <v>17188.888888888887</v>
      </c>
      <c r="H4" s="52">
        <v>14667.85185185185</v>
      </c>
    </row>
    <row r="5" spans="1:10" x14ac:dyDescent="0.2">
      <c r="A5" t="s">
        <v>50</v>
      </c>
      <c r="D5" s="52">
        <v>1690.624</v>
      </c>
      <c r="E5" s="52">
        <v>3389.6296296296291</v>
      </c>
      <c r="F5" s="52">
        <v>2311.1111111111109</v>
      </c>
      <c r="G5" s="52">
        <v>2311.1111111111109</v>
      </c>
      <c r="H5" s="52">
        <v>1972.148148148148</v>
      </c>
    </row>
    <row r="6" spans="1:10" x14ac:dyDescent="0.2">
      <c r="A6" t="s">
        <v>51</v>
      </c>
      <c r="D6" s="52">
        <v>13706.161055999999</v>
      </c>
      <c r="E6" s="52">
        <v>27480.273333333331</v>
      </c>
      <c r="F6" s="52">
        <v>18736.55</v>
      </c>
      <c r="G6" s="52">
        <v>18736.55</v>
      </c>
      <c r="H6" s="52">
        <v>15988.522666666669</v>
      </c>
    </row>
    <row r="7" spans="1:10" x14ac:dyDescent="0.2">
      <c r="A7" t="s">
        <v>52</v>
      </c>
      <c r="D7" s="52">
        <v>1842.845184</v>
      </c>
      <c r="E7" s="52">
        <v>3694.8266666666664</v>
      </c>
      <c r="F7" s="52">
        <v>2519.2000000000003</v>
      </c>
      <c r="G7" s="52">
        <v>2519.2000000000003</v>
      </c>
      <c r="H7" s="52">
        <v>2149.7173333333335</v>
      </c>
    </row>
    <row r="8" spans="1:10" x14ac:dyDescent="0.2">
      <c r="A8" t="s">
        <v>53</v>
      </c>
      <c r="D8" s="52">
        <v>28062.936000000002</v>
      </c>
      <c r="E8" s="52">
        <v>56265.000000000007</v>
      </c>
      <c r="F8" s="52">
        <v>38362.5</v>
      </c>
      <c r="G8" s="52">
        <v>38362.5</v>
      </c>
      <c r="H8" s="52">
        <v>32736</v>
      </c>
    </row>
    <row r="9" spans="1:10" x14ac:dyDescent="0.2">
      <c r="A9" t="s">
        <v>54</v>
      </c>
      <c r="D9" s="52">
        <v>2323.4904000000001</v>
      </c>
      <c r="E9" s="52">
        <v>4658.5000000000009</v>
      </c>
      <c r="F9" s="52">
        <v>3176.25</v>
      </c>
      <c r="G9" s="52">
        <v>3176.25</v>
      </c>
      <c r="H9" s="52">
        <v>2710.4</v>
      </c>
    </row>
    <row r="10" spans="1:10" x14ac:dyDescent="0.2">
      <c r="A10" t="s">
        <v>55</v>
      </c>
      <c r="D10" s="52">
        <v>90.525599999999997</v>
      </c>
      <c r="E10" s="52">
        <v>181.50000000000006</v>
      </c>
      <c r="F10" s="52">
        <v>123.75</v>
      </c>
      <c r="G10" s="52">
        <v>123.75</v>
      </c>
      <c r="H10" s="52">
        <v>105.60000000000001</v>
      </c>
    </row>
    <row r="11" spans="1:10" x14ac:dyDescent="0.2">
      <c r="A11" t="s">
        <v>56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</row>
    <row r="12" spans="1:10" x14ac:dyDescent="0.2">
      <c r="A12" t="s">
        <v>57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</row>
    <row r="13" spans="1:10" s="37" customFormat="1" ht="15" x14ac:dyDescent="0.25">
      <c r="A13" s="37" t="s">
        <v>58</v>
      </c>
      <c r="B13" s="53">
        <v>0</v>
      </c>
      <c r="C13" s="53">
        <v>0</v>
      </c>
      <c r="D13" s="53">
        <v>60290.598240000007</v>
      </c>
      <c r="E13" s="53">
        <v>120880.1</v>
      </c>
      <c r="F13" s="53">
        <v>82418.25</v>
      </c>
      <c r="G13" s="53">
        <v>82418.25</v>
      </c>
      <c r="H13" s="53">
        <v>70330.240000000005</v>
      </c>
      <c r="I13" s="53">
        <v>416337.43823999999</v>
      </c>
      <c r="J13" s="53"/>
    </row>
    <row r="14" spans="1:10" s="37" customFormat="1" ht="15" x14ac:dyDescent="0.25">
      <c r="A14" s="37" t="s">
        <v>59</v>
      </c>
      <c r="B14" s="53">
        <v>0</v>
      </c>
      <c r="C14" s="53">
        <v>0</v>
      </c>
      <c r="D14" s="53">
        <v>28333.301728000002</v>
      </c>
      <c r="E14" s="53">
        <v>68168.486222222229</v>
      </c>
      <c r="F14" s="53">
        <v>58098.14166666667</v>
      </c>
      <c r="G14" s="53">
        <v>58098.14166666667</v>
      </c>
      <c r="H14" s="53">
        <v>49577.080888888886</v>
      </c>
      <c r="I14" s="53">
        <v>262275.15217244445</v>
      </c>
      <c r="J14" s="53"/>
    </row>
    <row r="15" spans="1:10" x14ac:dyDescent="0.2">
      <c r="A15" t="s">
        <v>60</v>
      </c>
      <c r="D15" s="52">
        <v>14031.468000000001</v>
      </c>
      <c r="E15" s="52">
        <v>33759</v>
      </c>
      <c r="F15" s="52">
        <v>28771.875</v>
      </c>
      <c r="G15" s="52">
        <v>28771.875</v>
      </c>
      <c r="H15" s="52">
        <v>24552</v>
      </c>
    </row>
    <row r="16" spans="1:10" x14ac:dyDescent="0.2">
      <c r="A16" t="s">
        <v>61</v>
      </c>
      <c r="D16" s="52">
        <v>14301.833728</v>
      </c>
      <c r="E16" s="52">
        <v>34409.486222222215</v>
      </c>
      <c r="F16" s="52">
        <v>29326.266666666663</v>
      </c>
      <c r="G16" s="52">
        <v>29326.266666666663</v>
      </c>
      <c r="H16" s="52">
        <v>25025.08088888889</v>
      </c>
    </row>
    <row r="18" spans="1:10" x14ac:dyDescent="0.2">
      <c r="D18" s="52">
        <v>31957.296512000004</v>
      </c>
      <c r="E18" s="52">
        <v>52711.613777777777</v>
      </c>
      <c r="F18" s="52">
        <v>24320.10833333333</v>
      </c>
      <c r="G18" s="52">
        <v>24320.10833333333</v>
      </c>
      <c r="H18" s="52">
        <v>20753.159111111119</v>
      </c>
    </row>
    <row r="19" spans="1:10" ht="15" x14ac:dyDescent="0.25">
      <c r="A19" s="37" t="s">
        <v>62</v>
      </c>
    </row>
    <row r="20" spans="1:10" x14ac:dyDescent="0.2">
      <c r="A20" t="s">
        <v>49</v>
      </c>
      <c r="C20" s="52">
        <v>530.76923076923072</v>
      </c>
      <c r="D20" s="52">
        <v>1993.9111111111108</v>
      </c>
      <c r="E20" s="52">
        <v>0</v>
      </c>
      <c r="F20" s="52">
        <v>0</v>
      </c>
      <c r="G20" s="52">
        <v>0</v>
      </c>
      <c r="H20" s="52">
        <v>0</v>
      </c>
    </row>
    <row r="21" spans="1:10" x14ac:dyDescent="0.2">
      <c r="A21" t="s">
        <v>50</v>
      </c>
      <c r="C21" s="52">
        <v>69.230769230769226</v>
      </c>
      <c r="D21" s="52">
        <v>268.08888888888885</v>
      </c>
      <c r="E21" s="52">
        <v>0</v>
      </c>
      <c r="F21" s="52">
        <v>0</v>
      </c>
      <c r="G21" s="52">
        <v>0</v>
      </c>
      <c r="H21" s="52">
        <v>0</v>
      </c>
    </row>
    <row r="22" spans="1:10" x14ac:dyDescent="0.2">
      <c r="A22" t="s">
        <v>51</v>
      </c>
      <c r="C22" s="52">
        <v>4858.0562403846143</v>
      </c>
      <c r="D22" s="52">
        <v>6872.25</v>
      </c>
      <c r="E22" s="52">
        <v>0</v>
      </c>
      <c r="F22" s="52">
        <v>0</v>
      </c>
      <c r="G22" s="52">
        <v>0</v>
      </c>
      <c r="H22" s="52">
        <v>0</v>
      </c>
    </row>
    <row r="23" spans="1:10" x14ac:dyDescent="0.2">
      <c r="A23" t="s">
        <v>52</v>
      </c>
      <c r="C23" s="52">
        <v>633.65950961538454</v>
      </c>
      <c r="D23" s="52">
        <v>924</v>
      </c>
      <c r="E23" s="52">
        <v>0</v>
      </c>
      <c r="F23" s="52">
        <v>0</v>
      </c>
      <c r="G23" s="52">
        <v>0</v>
      </c>
      <c r="H23" s="52">
        <v>0</v>
      </c>
    </row>
    <row r="24" spans="1:10" x14ac:dyDescent="0.2">
      <c r="A24" t="s">
        <v>53</v>
      </c>
      <c r="C24" s="52">
        <v>15123.836700000002</v>
      </c>
      <c r="D24" s="52">
        <v>14066.250000000002</v>
      </c>
      <c r="E24" s="52">
        <v>0</v>
      </c>
      <c r="F24" s="52">
        <v>0</v>
      </c>
      <c r="G24" s="52">
        <v>0</v>
      </c>
      <c r="H24" s="52">
        <v>0</v>
      </c>
    </row>
    <row r="25" spans="1:10" x14ac:dyDescent="0.2">
      <c r="A25" t="s">
        <v>54</v>
      </c>
      <c r="C25" s="52">
        <v>959.46920999999998</v>
      </c>
      <c r="D25" s="52">
        <v>1164.6250000000002</v>
      </c>
      <c r="E25" s="52">
        <v>0</v>
      </c>
      <c r="F25" s="52">
        <v>0</v>
      </c>
      <c r="G25" s="52">
        <v>0</v>
      </c>
      <c r="H25" s="52">
        <v>0</v>
      </c>
    </row>
    <row r="26" spans="1:10" x14ac:dyDescent="0.2">
      <c r="A26" t="s">
        <v>55</v>
      </c>
      <c r="C26" s="52">
        <v>48.786570000000005</v>
      </c>
      <c r="D26" s="52">
        <v>45.375000000000014</v>
      </c>
      <c r="E26" s="52">
        <v>0</v>
      </c>
      <c r="F26" s="52">
        <v>0</v>
      </c>
      <c r="G26" s="52">
        <v>0</v>
      </c>
      <c r="H26" s="52">
        <v>0</v>
      </c>
    </row>
    <row r="27" spans="1:10" x14ac:dyDescent="0.2">
      <c r="A27" t="s">
        <v>56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</row>
    <row r="28" spans="1:10" x14ac:dyDescent="0.2">
      <c r="A28" t="s">
        <v>57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</row>
    <row r="29" spans="1:10" s="37" customFormat="1" ht="15" x14ac:dyDescent="0.25">
      <c r="A29" s="37" t="s">
        <v>58</v>
      </c>
      <c r="B29" s="53">
        <v>0</v>
      </c>
      <c r="C29" s="53">
        <v>22223.808229999999</v>
      </c>
      <c r="D29" s="53">
        <v>25334.5</v>
      </c>
      <c r="E29" s="53">
        <v>0</v>
      </c>
      <c r="F29" s="53">
        <v>0</v>
      </c>
      <c r="G29" s="53">
        <v>0</v>
      </c>
      <c r="H29" s="53">
        <v>0</v>
      </c>
      <c r="I29" s="53">
        <v>47558.308229999995</v>
      </c>
      <c r="J29" s="53"/>
    </row>
    <row r="30" spans="1:10" s="37" customFormat="1" ht="15" x14ac:dyDescent="0.25">
      <c r="A30" s="37" t="s">
        <v>63</v>
      </c>
      <c r="B30" s="53">
        <v>0</v>
      </c>
      <c r="C30" s="53">
        <v>19324.918243038461</v>
      </c>
      <c r="D30" s="53">
        <v>21687.3325</v>
      </c>
      <c r="E30" s="53">
        <v>0</v>
      </c>
      <c r="F30" s="53">
        <v>0</v>
      </c>
      <c r="G30" s="53">
        <v>0</v>
      </c>
      <c r="H30" s="53">
        <v>0</v>
      </c>
      <c r="I30" s="53">
        <v>41012.250743038458</v>
      </c>
      <c r="J30" s="53"/>
    </row>
    <row r="31" spans="1:10" s="54" customFormat="1" x14ac:dyDescent="0.2">
      <c r="A31" s="54" t="s">
        <v>60</v>
      </c>
      <c r="B31" s="52"/>
      <c r="C31" s="52">
        <v>13611.453030000002</v>
      </c>
      <c r="D31" s="52">
        <v>12659.625000000002</v>
      </c>
      <c r="E31" s="52">
        <v>0</v>
      </c>
      <c r="F31" s="52">
        <v>0</v>
      </c>
      <c r="G31" s="52">
        <v>0</v>
      </c>
      <c r="H31" s="52">
        <v>0</v>
      </c>
      <c r="I31" s="52"/>
      <c r="J31" s="52"/>
    </row>
    <row r="32" spans="1:10" x14ac:dyDescent="0.2">
      <c r="A32" t="s">
        <v>61</v>
      </c>
      <c r="C32" s="52">
        <v>5713.4652130384602</v>
      </c>
      <c r="D32" s="52">
        <v>9027.7075000000004</v>
      </c>
      <c r="E32" s="52">
        <v>0</v>
      </c>
      <c r="F32" s="52">
        <v>0</v>
      </c>
      <c r="G32" s="52">
        <v>0</v>
      </c>
      <c r="H32" s="52">
        <v>0</v>
      </c>
    </row>
    <row r="35" spans="1:10" ht="15" x14ac:dyDescent="0.25">
      <c r="A35" s="37" t="s">
        <v>64</v>
      </c>
    </row>
    <row r="36" spans="1:10" x14ac:dyDescent="0.2">
      <c r="A36" t="s">
        <v>49</v>
      </c>
      <c r="B36" s="52">
        <v>831.53846153846155</v>
      </c>
      <c r="C36" s="52">
        <v>2675.9615384615381</v>
      </c>
      <c r="D36" s="52">
        <v>3416.6927407407402</v>
      </c>
      <c r="E36" s="52">
        <v>0</v>
      </c>
      <c r="F36" s="52">
        <v>0</v>
      </c>
      <c r="G36" s="52">
        <v>0</v>
      </c>
      <c r="H36" s="52">
        <v>0</v>
      </c>
    </row>
    <row r="37" spans="1:10" x14ac:dyDescent="0.2">
      <c r="A37" t="s">
        <v>50</v>
      </c>
      <c r="B37" s="52">
        <v>108.46153846153847</v>
      </c>
      <c r="C37" s="52">
        <v>349.03846153846149</v>
      </c>
      <c r="D37" s="52">
        <v>459.38725925925922</v>
      </c>
      <c r="E37" s="52">
        <v>0</v>
      </c>
      <c r="F37" s="52">
        <v>0</v>
      </c>
      <c r="G37" s="52">
        <v>0</v>
      </c>
      <c r="H37" s="52">
        <v>0</v>
      </c>
    </row>
    <row r="38" spans="1:10" x14ac:dyDescent="0.2">
      <c r="A38" t="s">
        <v>51</v>
      </c>
      <c r="B38" s="52">
        <v>1068.1730769230769</v>
      </c>
      <c r="C38" s="52">
        <v>3854.3753846153841</v>
      </c>
      <c r="D38" s="52">
        <v>4657.1363999999994</v>
      </c>
      <c r="E38" s="52">
        <v>0</v>
      </c>
      <c r="F38" s="52">
        <v>0</v>
      </c>
      <c r="G38" s="52">
        <v>0</v>
      </c>
      <c r="H38" s="52">
        <v>0</v>
      </c>
    </row>
    <row r="39" spans="1:10" x14ac:dyDescent="0.2">
      <c r="A39" t="s">
        <v>52</v>
      </c>
      <c r="B39" s="52">
        <v>139.32692307692309</v>
      </c>
      <c r="C39" s="52">
        <v>502.74461538461537</v>
      </c>
      <c r="D39" s="52">
        <v>626.16959999999995</v>
      </c>
      <c r="E39" s="52">
        <v>0</v>
      </c>
      <c r="F39" s="52">
        <v>0</v>
      </c>
      <c r="G39" s="52">
        <v>0</v>
      </c>
      <c r="H39" s="52">
        <v>0</v>
      </c>
    </row>
    <row r="40" spans="1:10" x14ac:dyDescent="0.2">
      <c r="A40" t="s">
        <v>53</v>
      </c>
      <c r="B40" s="52">
        <v>3451.5</v>
      </c>
      <c r="C40" s="52">
        <v>11999.232</v>
      </c>
      <c r="D40" s="52">
        <v>9532.3140000000021</v>
      </c>
      <c r="E40" s="52">
        <v>0</v>
      </c>
      <c r="F40" s="52">
        <v>0</v>
      </c>
      <c r="G40" s="52">
        <v>0</v>
      </c>
      <c r="H40" s="52">
        <v>0</v>
      </c>
    </row>
    <row r="41" spans="1:10" x14ac:dyDescent="0.2">
      <c r="A41" t="s">
        <v>54</v>
      </c>
      <c r="B41" s="52">
        <v>230.1</v>
      </c>
      <c r="C41" s="52">
        <v>761.24159999999995</v>
      </c>
      <c r="D41" s="52">
        <v>789.23460000000011</v>
      </c>
      <c r="E41" s="52">
        <v>0</v>
      </c>
      <c r="F41" s="52">
        <v>0</v>
      </c>
      <c r="G41" s="52">
        <v>0</v>
      </c>
      <c r="H41" s="52">
        <v>0</v>
      </c>
    </row>
    <row r="42" spans="1:10" x14ac:dyDescent="0.2">
      <c r="A42" t="s">
        <v>55</v>
      </c>
      <c r="B42" s="52">
        <v>11.700000000000001</v>
      </c>
      <c r="C42" s="52">
        <v>38.7072</v>
      </c>
      <c r="D42" s="52">
        <v>30.749400000000005</v>
      </c>
      <c r="E42" s="52">
        <v>0</v>
      </c>
      <c r="F42" s="52">
        <v>0</v>
      </c>
      <c r="G42" s="52">
        <v>0</v>
      </c>
      <c r="H42" s="52">
        <v>0</v>
      </c>
    </row>
    <row r="43" spans="1:10" x14ac:dyDescent="0.2">
      <c r="A43" t="s">
        <v>56</v>
      </c>
      <c r="B43" s="52">
        <v>0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</row>
    <row r="44" spans="1:10" x14ac:dyDescent="0.2">
      <c r="A44" t="s">
        <v>57</v>
      </c>
      <c r="B44" s="52">
        <v>0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</row>
    <row r="45" spans="1:10" s="37" customFormat="1" ht="15" x14ac:dyDescent="0.25">
      <c r="A45" s="37" t="s">
        <v>58</v>
      </c>
      <c r="B45" s="53">
        <v>5840.8</v>
      </c>
      <c r="C45" s="53">
        <v>20181.300800000001</v>
      </c>
      <c r="D45" s="53">
        <v>19511.684000000001</v>
      </c>
      <c r="E45" s="53">
        <v>0</v>
      </c>
      <c r="F45" s="53">
        <v>0</v>
      </c>
      <c r="G45" s="53">
        <v>0</v>
      </c>
      <c r="H45" s="53">
        <v>0</v>
      </c>
      <c r="I45" s="53">
        <v>45533.784800000001</v>
      </c>
      <c r="J45" s="53"/>
    </row>
    <row r="46" spans="1:10" s="37" customFormat="1" ht="15" x14ac:dyDescent="0.25">
      <c r="A46" s="37" t="s">
        <v>65</v>
      </c>
      <c r="B46" s="53">
        <v>4185.983653846155</v>
      </c>
      <c r="C46" s="53">
        <v>14468.107892307691</v>
      </c>
      <c r="D46" s="53">
        <v>13796.533305555557</v>
      </c>
      <c r="E46" s="53">
        <v>0</v>
      </c>
      <c r="F46" s="53">
        <v>0</v>
      </c>
      <c r="G46" s="53">
        <v>0</v>
      </c>
      <c r="H46" s="53">
        <v>0</v>
      </c>
      <c r="I46" s="53">
        <v>32450.624851709403</v>
      </c>
      <c r="J46" s="53"/>
    </row>
    <row r="47" spans="1:10" x14ac:dyDescent="0.2">
      <c r="A47" t="s">
        <v>60</v>
      </c>
      <c r="B47" s="52">
        <v>2588.625</v>
      </c>
      <c r="C47" s="52">
        <v>8999.4239999999991</v>
      </c>
      <c r="D47" s="52">
        <v>7149.2355000000016</v>
      </c>
      <c r="E47" s="52">
        <v>0</v>
      </c>
      <c r="F47" s="52">
        <v>0</v>
      </c>
      <c r="G47" s="52">
        <v>0</v>
      </c>
      <c r="H47" s="52">
        <v>0</v>
      </c>
    </row>
    <row r="48" spans="1:10" x14ac:dyDescent="0.2">
      <c r="A48" t="s">
        <v>61</v>
      </c>
      <c r="B48" s="52">
        <v>1597.3586538461539</v>
      </c>
      <c r="C48" s="52">
        <v>5468.6838923076921</v>
      </c>
      <c r="D48" s="52">
        <v>6647.2978055555541</v>
      </c>
      <c r="E48" s="52">
        <v>0</v>
      </c>
      <c r="F48" s="52">
        <v>0</v>
      </c>
      <c r="G48" s="52">
        <v>0</v>
      </c>
      <c r="H48" s="52">
        <v>0</v>
      </c>
    </row>
    <row r="50" spans="1:10" s="37" customFormat="1" ht="15" x14ac:dyDescent="0.25">
      <c r="A50" s="37" t="s">
        <v>77</v>
      </c>
      <c r="B50" s="53">
        <v>5840.8</v>
      </c>
      <c r="C50" s="53">
        <f>42405.10903+C55</f>
        <v>71694.109029999992</v>
      </c>
      <c r="D50" s="53">
        <v>105136.78224</v>
      </c>
      <c r="E50" s="53">
        <v>120880.1</v>
      </c>
      <c r="F50" s="53">
        <v>82418.25</v>
      </c>
      <c r="G50" s="53">
        <v>82418.25</v>
      </c>
      <c r="H50" s="53">
        <v>70330.240000000005</v>
      </c>
      <c r="I50" s="53">
        <v>509429.53127000004</v>
      </c>
      <c r="J50" s="53"/>
    </row>
    <row r="51" spans="1:10" x14ac:dyDescent="0.2">
      <c r="A51" t="s">
        <v>67</v>
      </c>
      <c r="B51" s="52">
        <v>4185.983653846155</v>
      </c>
      <c r="C51" s="52">
        <f>33793.0261353461+C56-1</f>
        <v>54675.026135346103</v>
      </c>
      <c r="D51" s="52">
        <v>63817.167533555563</v>
      </c>
      <c r="E51" s="52">
        <v>68168.486222222229</v>
      </c>
      <c r="F51" s="52">
        <v>58098.14166666667</v>
      </c>
      <c r="G51" s="52">
        <v>58098.14166666667</v>
      </c>
      <c r="H51" s="52">
        <v>49577.080888888886</v>
      </c>
      <c r="I51" s="52">
        <v>335738.02776719234</v>
      </c>
    </row>
    <row r="52" spans="1:10" x14ac:dyDescent="0.2">
      <c r="A52" t="s">
        <v>68</v>
      </c>
      <c r="B52" s="52">
        <v>1654.8163461538452</v>
      </c>
      <c r="C52" s="52">
        <f>8612.08289465385+C57</f>
        <v>17018.08289465385</v>
      </c>
      <c r="D52" s="52">
        <v>41319.614706444438</v>
      </c>
      <c r="E52" s="52">
        <v>52711.613777777777</v>
      </c>
      <c r="F52" s="52">
        <v>24320.10833333333</v>
      </c>
      <c r="G52" s="52">
        <v>24320.10833333333</v>
      </c>
      <c r="H52" s="52">
        <v>20753.159111111119</v>
      </c>
      <c r="I52" s="52">
        <v>173691.5035028077</v>
      </c>
    </row>
    <row r="53" spans="1:10" x14ac:dyDescent="0.2">
      <c r="A53" t="s">
        <v>13</v>
      </c>
    </row>
    <row r="54" spans="1:10" s="58" customFormat="1" x14ac:dyDescent="0.2">
      <c r="A54" s="58" t="s">
        <v>76</v>
      </c>
      <c r="B54" s="59"/>
      <c r="C54" s="59"/>
      <c r="D54" s="59"/>
      <c r="E54" s="59"/>
      <c r="F54" s="59"/>
      <c r="G54" s="59"/>
      <c r="H54" s="59"/>
      <c r="I54" s="59"/>
      <c r="J54" s="59"/>
    </row>
    <row r="55" spans="1:10" s="58" customFormat="1" x14ac:dyDescent="0.2">
      <c r="A55" s="58" t="s">
        <v>66</v>
      </c>
      <c r="B55" s="59"/>
      <c r="C55" s="59">
        <v>29289</v>
      </c>
      <c r="D55" s="59"/>
      <c r="E55" s="59"/>
      <c r="F55" s="59"/>
      <c r="G55" s="59"/>
      <c r="H55" s="59"/>
      <c r="I55" s="59"/>
      <c r="J55" s="59"/>
    </row>
    <row r="56" spans="1:10" s="58" customFormat="1" x14ac:dyDescent="0.2">
      <c r="A56" s="58" t="s">
        <v>67</v>
      </c>
      <c r="B56" s="59"/>
      <c r="C56" s="59">
        <v>20883</v>
      </c>
      <c r="D56" s="59"/>
      <c r="E56" s="59"/>
      <c r="F56" s="59"/>
      <c r="G56" s="59"/>
      <c r="H56" s="59"/>
      <c r="I56" s="59"/>
      <c r="J56" s="59"/>
    </row>
    <row r="57" spans="1:10" s="58" customFormat="1" x14ac:dyDescent="0.2">
      <c r="A57" s="58" t="s">
        <v>68</v>
      </c>
      <c r="B57" s="59"/>
      <c r="C57" s="59">
        <f>C55-C56</f>
        <v>8406</v>
      </c>
      <c r="D57" s="59"/>
      <c r="E57" s="59"/>
      <c r="F57" s="59"/>
      <c r="G57" s="59"/>
      <c r="H57" s="59"/>
      <c r="I57" s="59"/>
      <c r="J57" s="5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5"/>
  <sheetViews>
    <sheetView workbookViewId="0">
      <selection activeCell="H50" sqref="G50:H50"/>
    </sheetView>
  </sheetViews>
  <sheetFormatPr defaultColWidth="8.625" defaultRowHeight="14.25" x14ac:dyDescent="0.2"/>
  <cols>
    <col min="1" max="3" width="8.625" style="7"/>
    <col min="4" max="4" width="27" style="7" customWidth="1"/>
    <col min="5" max="16384" width="8.625" style="7"/>
  </cols>
  <sheetData>
    <row r="1" spans="1:17" ht="21" x14ac:dyDescent="0.2">
      <c r="A1" s="5" t="s">
        <v>45</v>
      </c>
    </row>
    <row r="2" spans="1:17" ht="15" x14ac:dyDescent="0.2">
      <c r="A2" s="36"/>
    </row>
    <row r="3" spans="1:17" ht="15" x14ac:dyDescent="0.25">
      <c r="A3" s="37" t="s">
        <v>19</v>
      </c>
      <c r="B3" s="37"/>
      <c r="C3" s="37"/>
      <c r="D3" s="37"/>
    </row>
    <row r="4" spans="1:17" x14ac:dyDescent="0.2">
      <c r="K4" s="7" t="s">
        <v>13</v>
      </c>
    </row>
    <row r="5" spans="1:17" ht="72" x14ac:dyDescent="0.25">
      <c r="A5" s="8" t="s">
        <v>0</v>
      </c>
      <c r="B5" s="9"/>
      <c r="C5" s="9"/>
      <c r="D5" s="9"/>
      <c r="E5" s="17" t="s">
        <v>2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7</v>
      </c>
      <c r="K5" s="10" t="s">
        <v>17</v>
      </c>
    </row>
    <row r="6" spans="1:17" ht="15" x14ac:dyDescent="0.25">
      <c r="A6" s="11" t="s">
        <v>24</v>
      </c>
      <c r="B6" s="9"/>
      <c r="C6" s="9"/>
      <c r="D6" s="9"/>
      <c r="E6" s="16">
        <f>SUM(F6:I6)</f>
        <v>705593</v>
      </c>
      <c r="F6" s="16">
        <f>19981+372155+100090-2392+99948+82811</f>
        <v>672593</v>
      </c>
      <c r="G6" s="16">
        <v>33000</v>
      </c>
      <c r="H6" s="16">
        <v>0</v>
      </c>
      <c r="I6" s="3">
        <v>0</v>
      </c>
      <c r="J6" s="3">
        <v>0</v>
      </c>
      <c r="K6" s="3">
        <v>0</v>
      </c>
    </row>
    <row r="7" spans="1:17" ht="15" x14ac:dyDescent="0.25">
      <c r="A7" s="11" t="s">
        <v>25</v>
      </c>
      <c r="B7" s="38"/>
      <c r="C7" s="38"/>
      <c r="D7" s="39"/>
      <c r="E7" s="16">
        <f>SUM(F7:I7)</f>
        <v>0</v>
      </c>
      <c r="F7" s="16"/>
      <c r="G7" s="16"/>
      <c r="H7" s="16"/>
      <c r="I7" s="3"/>
      <c r="J7" s="3"/>
      <c r="K7" s="3"/>
    </row>
    <row r="8" spans="1:17" ht="15" x14ac:dyDescent="0.25">
      <c r="A8" s="11" t="s">
        <v>26</v>
      </c>
      <c r="B8" s="38"/>
      <c r="C8" s="38"/>
      <c r="D8" s="39"/>
      <c r="E8" s="16">
        <f>SUM(F8:K8)</f>
        <v>304000</v>
      </c>
      <c r="F8" s="9">
        <v>0</v>
      </c>
      <c r="G8" s="9">
        <v>0</v>
      </c>
      <c r="H8" s="9">
        <v>0</v>
      </c>
      <c r="I8" s="40">
        <v>80000</v>
      </c>
      <c r="J8" s="40">
        <v>112000</v>
      </c>
      <c r="K8" s="40">
        <v>112000</v>
      </c>
      <c r="O8" s="7">
        <v>2013</v>
      </c>
      <c r="P8" s="41">
        <v>17000</v>
      </c>
    </row>
    <row r="9" spans="1:17" ht="15" x14ac:dyDescent="0.25">
      <c r="A9" s="12"/>
      <c r="B9" s="42"/>
      <c r="C9" s="42"/>
      <c r="D9" s="39"/>
      <c r="E9" s="8"/>
      <c r="F9" s="9"/>
      <c r="G9" s="9"/>
      <c r="H9" s="9"/>
      <c r="I9" s="9"/>
      <c r="J9" s="9"/>
      <c r="K9" s="9"/>
      <c r="P9" s="41"/>
    </row>
    <row r="10" spans="1:17" ht="15" x14ac:dyDescent="0.25">
      <c r="A10" s="13" t="s">
        <v>1</v>
      </c>
      <c r="B10" s="42"/>
      <c r="C10" s="42"/>
      <c r="D10" s="39"/>
      <c r="E10" s="8"/>
      <c r="F10" s="9"/>
      <c r="G10" s="9"/>
      <c r="H10" s="9"/>
      <c r="I10" s="9"/>
      <c r="J10" s="9"/>
      <c r="K10" s="9"/>
      <c r="O10" s="7">
        <v>2014</v>
      </c>
      <c r="P10" s="41">
        <v>817</v>
      </c>
    </row>
    <row r="11" spans="1:17" ht="17.25" x14ac:dyDescent="0.25">
      <c r="A11" s="12" t="s">
        <v>27</v>
      </c>
      <c r="B11" s="38"/>
      <c r="C11" s="38"/>
      <c r="D11" s="43"/>
      <c r="E11" s="16">
        <f>SUM(F11:K11)</f>
        <v>560016</v>
      </c>
      <c r="F11" s="44">
        <f>149348+6308+65787+47657</f>
        <v>269100</v>
      </c>
      <c r="G11" s="44">
        <v>58620</v>
      </c>
      <c r="H11" s="44">
        <v>24296</v>
      </c>
      <c r="I11" s="44">
        <f>I8*0.5</f>
        <v>40000</v>
      </c>
      <c r="J11" s="44">
        <f>J8*0.75</f>
        <v>84000</v>
      </c>
      <c r="K11" s="44">
        <f>K8*0.75</f>
        <v>84000</v>
      </c>
      <c r="O11" s="7">
        <v>2014</v>
      </c>
      <c r="P11" s="41">
        <v>29122</v>
      </c>
    </row>
    <row r="12" spans="1:17" ht="15" x14ac:dyDescent="0.25">
      <c r="A12" s="45" t="s">
        <v>28</v>
      </c>
      <c r="B12" s="38"/>
      <c r="C12" s="38"/>
      <c r="D12" s="43"/>
      <c r="E12" s="16"/>
      <c r="F12" s="44"/>
      <c r="G12" s="44"/>
      <c r="H12" s="44"/>
      <c r="I12" s="9"/>
      <c r="J12" s="9"/>
      <c r="K12" s="9"/>
      <c r="P12" s="37"/>
    </row>
    <row r="13" spans="1:17" x14ac:dyDescent="0.2">
      <c r="A13" s="9" t="s">
        <v>29</v>
      </c>
      <c r="B13" s="9"/>
      <c r="C13" s="12"/>
      <c r="D13" s="39"/>
      <c r="E13" s="16">
        <f>SUM(F13:K13)</f>
        <v>361512</v>
      </c>
      <c r="F13" s="44">
        <f>F6-F11-F14-F15</f>
        <v>315428</v>
      </c>
      <c r="G13" s="44">
        <f>G6-G11</f>
        <v>-25620</v>
      </c>
      <c r="H13" s="44">
        <f>H6-H11</f>
        <v>-24296</v>
      </c>
      <c r="I13" s="44">
        <f>I8-I11</f>
        <v>40000</v>
      </c>
      <c r="J13" s="44">
        <f t="shared" ref="J13:K13" si="0">J8-J11</f>
        <v>28000</v>
      </c>
      <c r="K13" s="44">
        <f t="shared" si="0"/>
        <v>28000</v>
      </c>
      <c r="O13" s="7">
        <v>2015</v>
      </c>
    </row>
    <row r="14" spans="1:17" x14ac:dyDescent="0.2">
      <c r="A14" s="9" t="s">
        <v>30</v>
      </c>
      <c r="B14" s="9"/>
      <c r="C14" s="12"/>
      <c r="D14" s="39"/>
      <c r="E14" s="16">
        <f t="shared" ref="E14:E15" si="1">SUM(F14:H14)</f>
        <v>85339</v>
      </c>
      <c r="F14" s="46">
        <f>67522+17000+817</f>
        <v>85339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O14" s="7">
        <v>2015</v>
      </c>
      <c r="P14" s="47">
        <v>526</v>
      </c>
      <c r="Q14" s="7">
        <v>511961</v>
      </c>
    </row>
    <row r="15" spans="1:17" ht="15" x14ac:dyDescent="0.25">
      <c r="A15" s="9" t="s">
        <v>31</v>
      </c>
      <c r="B15" s="9"/>
      <c r="C15" s="48"/>
      <c r="D15" s="39"/>
      <c r="E15" s="16">
        <f t="shared" si="1"/>
        <v>2726</v>
      </c>
      <c r="F15" s="49">
        <f>1000+1200+526</f>
        <v>2726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O15" s="7">
        <v>2015</v>
      </c>
      <c r="P15" s="50">
        <v>1000</v>
      </c>
      <c r="Q15" s="47">
        <v>511964</v>
      </c>
    </row>
    <row r="16" spans="1:17" ht="15" x14ac:dyDescent="0.25">
      <c r="A16" s="18" t="s">
        <v>6</v>
      </c>
      <c r="B16" s="12"/>
      <c r="C16" s="38"/>
      <c r="D16" s="39"/>
      <c r="E16" s="14">
        <f>SUM(E11:E15)</f>
        <v>1009593</v>
      </c>
      <c r="F16" s="14">
        <f t="shared" ref="F16:K16" si="2">SUM(F11:F15)</f>
        <v>672593</v>
      </c>
      <c r="G16" s="14">
        <f t="shared" si="2"/>
        <v>33000</v>
      </c>
      <c r="H16" s="14">
        <f t="shared" si="2"/>
        <v>0</v>
      </c>
      <c r="I16" s="14">
        <f t="shared" si="2"/>
        <v>80000</v>
      </c>
      <c r="J16" s="14">
        <f t="shared" si="2"/>
        <v>112000</v>
      </c>
      <c r="K16" s="14">
        <f t="shared" si="2"/>
        <v>112000</v>
      </c>
      <c r="O16" s="7">
        <v>2015</v>
      </c>
      <c r="P16" s="41">
        <v>16500</v>
      </c>
      <c r="Q16" s="7">
        <v>511981</v>
      </c>
    </row>
    <row r="17" spans="1:17" ht="15" x14ac:dyDescent="0.25">
      <c r="A17" s="51" t="s">
        <v>32</v>
      </c>
      <c r="E17" s="15"/>
      <c r="F17" s="15"/>
      <c r="G17" s="15"/>
      <c r="H17" s="15"/>
      <c r="O17" s="7">
        <v>2015</v>
      </c>
      <c r="P17" s="41">
        <v>8500</v>
      </c>
      <c r="Q17" s="7">
        <v>511981</v>
      </c>
    </row>
    <row r="18" spans="1:17" ht="15" x14ac:dyDescent="0.25">
      <c r="A18" s="51" t="s">
        <v>33</v>
      </c>
      <c r="O18" s="7">
        <v>2016</v>
      </c>
      <c r="P18" s="41">
        <v>13400</v>
      </c>
      <c r="Q18" s="7">
        <v>511981</v>
      </c>
    </row>
    <row r="19" spans="1:17" ht="15" x14ac:dyDescent="0.25">
      <c r="O19" s="7">
        <v>2016</v>
      </c>
      <c r="P19" s="50">
        <v>1200</v>
      </c>
      <c r="Q19" s="47">
        <v>511964</v>
      </c>
    </row>
    <row r="21" spans="1:17" ht="15" x14ac:dyDescent="0.25">
      <c r="A21" s="37" t="s">
        <v>34</v>
      </c>
    </row>
    <row r="23" spans="1:17" ht="72" x14ac:dyDescent="0.25">
      <c r="A23" s="8" t="s">
        <v>0</v>
      </c>
      <c r="B23" s="9"/>
      <c r="C23" s="9"/>
      <c r="D23" s="9"/>
      <c r="E23" s="17" t="s">
        <v>2</v>
      </c>
      <c r="F23" s="10" t="s">
        <v>35</v>
      </c>
      <c r="G23" s="10" t="s">
        <v>36</v>
      </c>
      <c r="H23" s="10" t="s">
        <v>37</v>
      </c>
      <c r="I23" s="10" t="s">
        <v>38</v>
      </c>
      <c r="J23" s="10" t="s">
        <v>23</v>
      </c>
      <c r="K23" s="10" t="s">
        <v>7</v>
      </c>
    </row>
    <row r="24" spans="1:17" ht="15" x14ac:dyDescent="0.25">
      <c r="A24" s="11" t="s">
        <v>24</v>
      </c>
      <c r="B24" s="9"/>
      <c r="C24" s="9"/>
      <c r="D24" s="9"/>
      <c r="E24" s="16">
        <f>SUM(F24:I24)</f>
        <v>705886</v>
      </c>
      <c r="F24" s="16">
        <f>19981+372155+100090-2392+99948</f>
        <v>589782</v>
      </c>
      <c r="G24" s="16">
        <v>81978</v>
      </c>
      <c r="H24" s="16">
        <v>34126</v>
      </c>
      <c r="I24" s="3">
        <v>0</v>
      </c>
      <c r="J24" s="3">
        <v>0</v>
      </c>
      <c r="K24" s="3">
        <v>0</v>
      </c>
    </row>
    <row r="25" spans="1:17" ht="17.25" x14ac:dyDescent="0.25">
      <c r="A25" s="11" t="s">
        <v>39</v>
      </c>
      <c r="B25" s="38"/>
      <c r="C25" s="39"/>
      <c r="D25" s="39"/>
      <c r="E25" s="16">
        <f>SUM(F25:K25)</f>
        <v>304000</v>
      </c>
      <c r="F25" s="9"/>
      <c r="G25" s="9"/>
      <c r="H25" s="9"/>
      <c r="I25" s="16">
        <v>80000</v>
      </c>
      <c r="J25" s="16">
        <v>112000</v>
      </c>
      <c r="K25" s="16">
        <v>112000</v>
      </c>
    </row>
    <row r="26" spans="1:17" ht="15" x14ac:dyDescent="0.25">
      <c r="A26" s="4"/>
      <c r="B26" s="42"/>
      <c r="C26" s="42"/>
      <c r="D26" s="39"/>
      <c r="E26" s="8"/>
      <c r="F26" s="9"/>
      <c r="G26" s="9"/>
      <c r="H26" s="9"/>
      <c r="I26" s="9"/>
      <c r="J26" s="9"/>
      <c r="K26" s="9"/>
    </row>
    <row r="27" spans="1:17" ht="15" x14ac:dyDescent="0.25">
      <c r="A27" s="13" t="s">
        <v>1</v>
      </c>
      <c r="B27" s="42"/>
      <c r="C27" s="42"/>
      <c r="D27" s="39"/>
      <c r="E27" s="8"/>
      <c r="F27" s="9"/>
      <c r="G27" s="9"/>
      <c r="H27" s="9"/>
      <c r="I27" s="9"/>
      <c r="J27" s="9"/>
      <c r="K27" s="9"/>
    </row>
    <row r="28" spans="1:17" x14ac:dyDescent="0.2">
      <c r="A28" s="12" t="s">
        <v>40</v>
      </c>
      <c r="B28" s="38"/>
      <c r="C28" s="38"/>
      <c r="D28" s="43"/>
      <c r="E28" s="16">
        <f>SUM(F28:H28)</f>
        <v>352016</v>
      </c>
      <c r="F28" s="44">
        <f>149348+6308+65787+47657</f>
        <v>269100</v>
      </c>
      <c r="G28" s="44">
        <v>58620</v>
      </c>
      <c r="H28" s="44">
        <v>24296</v>
      </c>
      <c r="I28" s="44">
        <f>I25*0.5</f>
        <v>40000</v>
      </c>
      <c r="J28" s="44">
        <f>J25*0.75</f>
        <v>84000</v>
      </c>
      <c r="K28" s="44">
        <f>K25*0.75</f>
        <v>84000</v>
      </c>
    </row>
    <row r="29" spans="1:17" x14ac:dyDescent="0.2">
      <c r="A29" s="45" t="s">
        <v>41</v>
      </c>
      <c r="B29" s="38"/>
      <c r="C29" s="38"/>
      <c r="D29" s="43"/>
      <c r="E29" s="16"/>
      <c r="F29" s="44"/>
      <c r="G29" s="44"/>
      <c r="H29" s="44"/>
      <c r="I29" s="9"/>
      <c r="J29" s="9"/>
      <c r="K29" s="9"/>
    </row>
    <row r="30" spans="1:17" x14ac:dyDescent="0.2">
      <c r="A30" s="9" t="s">
        <v>5</v>
      </c>
      <c r="B30" s="9"/>
      <c r="C30" s="12"/>
      <c r="D30" s="39"/>
      <c r="E30" s="16">
        <f>SUM(F30:K30)</f>
        <v>476903</v>
      </c>
      <c r="F30" s="44">
        <f>93+5419+26446+25108+232617</f>
        <v>289683</v>
      </c>
      <c r="G30" s="44">
        <f>32287+23358</f>
        <v>55645</v>
      </c>
      <c r="H30" s="44">
        <f>40002+9830</f>
        <v>49832</v>
      </c>
      <c r="I30" s="44">
        <f>11672+26483</f>
        <v>38155</v>
      </c>
      <c r="J30" s="44">
        <f>25870</f>
        <v>25870</v>
      </c>
      <c r="K30" s="44">
        <v>17718</v>
      </c>
    </row>
    <row r="31" spans="1:17" x14ac:dyDescent="0.2">
      <c r="A31" s="9" t="s">
        <v>3</v>
      </c>
      <c r="B31" s="9"/>
      <c r="C31" s="12"/>
      <c r="D31" s="39"/>
      <c r="E31" s="16">
        <f t="shared" ref="E31:E32" si="3">SUM(F31:K31)</f>
        <v>205602</v>
      </c>
      <c r="F31" s="1">
        <f>400+4697+12325+18140+85339</f>
        <v>120901</v>
      </c>
      <c r="G31" s="44">
        <v>22995</v>
      </c>
      <c r="H31" s="44">
        <v>23890</v>
      </c>
      <c r="I31" s="44">
        <f>5835.5+13750.5</f>
        <v>19586</v>
      </c>
      <c r="J31" s="44">
        <f>12093</f>
        <v>12093</v>
      </c>
      <c r="K31" s="44">
        <v>6137</v>
      </c>
    </row>
    <row r="32" spans="1:17" x14ac:dyDescent="0.2">
      <c r="A32" s="9" t="s">
        <v>4</v>
      </c>
      <c r="B32" s="9"/>
      <c r="C32" s="48"/>
      <c r="D32" s="39"/>
      <c r="E32" s="16">
        <f t="shared" si="3"/>
        <v>8824.6</v>
      </c>
      <c r="F32" s="1">
        <f>191+981.3+948.3+2726</f>
        <v>4846.6000000000004</v>
      </c>
      <c r="G32" s="44">
        <v>1097</v>
      </c>
      <c r="H32" s="44">
        <v>1250</v>
      </c>
      <c r="I32" s="44">
        <f>731+300</f>
        <v>1031</v>
      </c>
      <c r="J32" s="44">
        <v>300</v>
      </c>
      <c r="K32" s="44">
        <v>300</v>
      </c>
    </row>
    <row r="33" spans="1:15" ht="17.25" x14ac:dyDescent="0.25">
      <c r="A33" s="18" t="s">
        <v>42</v>
      </c>
      <c r="B33" s="12"/>
      <c r="C33" s="38"/>
      <c r="D33" s="39"/>
      <c r="E33" s="14">
        <f t="shared" ref="E33:K33" si="4">SUM(E30:E32)</f>
        <v>691329.6</v>
      </c>
      <c r="F33" s="14">
        <f t="shared" si="4"/>
        <v>415430.6</v>
      </c>
      <c r="G33" s="14">
        <f t="shared" si="4"/>
        <v>79737</v>
      </c>
      <c r="H33" s="14">
        <f t="shared" si="4"/>
        <v>74972</v>
      </c>
      <c r="I33" s="14">
        <f t="shared" si="4"/>
        <v>58772</v>
      </c>
      <c r="J33" s="14">
        <f t="shared" si="4"/>
        <v>38263</v>
      </c>
      <c r="K33" s="14">
        <f t="shared" si="4"/>
        <v>24155</v>
      </c>
      <c r="N33" s="15">
        <f>E33+11762+2794</f>
        <v>705885.6</v>
      </c>
      <c r="O33" s="7" t="s">
        <v>43</v>
      </c>
    </row>
    <row r="34" spans="1:15" x14ac:dyDescent="0.2">
      <c r="A34" s="51" t="s">
        <v>33</v>
      </c>
      <c r="E34" s="15"/>
      <c r="F34" s="15"/>
      <c r="G34" s="15"/>
      <c r="H34" s="15"/>
    </row>
    <row r="35" spans="1:15" x14ac:dyDescent="0.2">
      <c r="A35" s="51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RB2021</vt:lpstr>
      <vt:lpstr>Budget CAP</vt:lpstr>
      <vt:lpstr>RB2019 underlag LBP_Fisk</vt:lpstr>
      <vt:lpstr>'RB2021'!Utskriftsområde</vt:lpstr>
    </vt:vector>
  </TitlesOfParts>
  <Company>Regeringskansliet RK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Elworth</dc:creator>
  <cp:lastModifiedBy>Johanna Kirsten</cp:lastModifiedBy>
  <cp:lastPrinted>2019-11-15T08:07:37Z</cp:lastPrinted>
  <dcterms:created xsi:type="dcterms:W3CDTF">2011-10-26T09:40:34Z</dcterms:created>
  <dcterms:modified xsi:type="dcterms:W3CDTF">2020-12-22T09:50:18Z</dcterms:modified>
</cp:coreProperties>
</file>