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hs.sp.regeringskansliet.se/yta/fi-ofa/sfo/Myndigheter och Hovet/Länsstyrelserna/Regleringsbrev/Länsstyrelserna 21/RBÄ 210401/"/>
    </mc:Choice>
  </mc:AlternateContent>
  <xr:revisionPtr revIDLastSave="0" documentId="13_ncr:1_{3E4F5640-E9FF-4B3F-949A-25B048650D1D}" xr6:coauthVersionLast="45" xr6:coauthVersionMax="45" xr10:uidLastSave="{00000000-0000-0000-0000-000000000000}"/>
  <bookViews>
    <workbookView xWindow="-120" yWindow="-120" windowWidth="25440" windowHeight="15390" xr2:uid="{44832A45-09D4-4A9E-8824-1CD092936FBF}"/>
  </bookViews>
  <sheets>
    <sheet name="Översikt fördelning" sheetId="4" r:id="rId1"/>
    <sheet name="Riktade medel och parametrar" sheetId="2" r:id="rId2"/>
  </sheets>
  <definedNames>
    <definedName name="_xlnm.Print_Area" localSheetId="1">'Riktade medel och parametrar'!$A$1:$AS$30</definedName>
    <definedName name="_xlnm.Print_Area" localSheetId="0">'Översikt fördelning'!$A$1:$F$33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4" l="1"/>
  <c r="C12" i="4"/>
  <c r="C11" i="4"/>
  <c r="C10" i="4"/>
  <c r="AK20" i="2"/>
  <c r="C20" i="4" l="1"/>
  <c r="AS28" i="2" l="1"/>
  <c r="Q28" i="2" l="1"/>
  <c r="F27" i="2" l="1"/>
  <c r="F26" i="2"/>
  <c r="F25" i="2"/>
  <c r="AO28" i="2" l="1"/>
  <c r="C15" i="4" l="1"/>
  <c r="C16" i="4" l="1"/>
  <c r="C13" i="4" l="1"/>
  <c r="C18" i="4"/>
  <c r="C17" i="4" l="1"/>
  <c r="C9" i="4"/>
  <c r="C14" i="4"/>
  <c r="B27" i="4" l="1"/>
  <c r="AK28" i="2"/>
  <c r="AJ28" i="2"/>
  <c r="C8" i="4" s="1"/>
  <c r="Y28" i="2"/>
  <c r="X28" i="2"/>
  <c r="W28" i="2"/>
  <c r="V28" i="2"/>
  <c r="U28" i="2"/>
  <c r="I28" i="2"/>
  <c r="D28" i="2"/>
  <c r="AN27" i="2"/>
  <c r="AM27" i="2"/>
  <c r="P27" i="2"/>
  <c r="N27" i="2"/>
  <c r="L27" i="2"/>
  <c r="K27" i="2"/>
  <c r="E27" i="2"/>
  <c r="B27" i="2"/>
  <c r="AN26" i="2"/>
  <c r="AM26" i="2"/>
  <c r="N26" i="2"/>
  <c r="K26" i="2"/>
  <c r="E26" i="2"/>
  <c r="B26" i="2"/>
  <c r="AN25" i="2"/>
  <c r="AM25" i="2"/>
  <c r="AL25" i="2"/>
  <c r="N25" i="2"/>
  <c r="E25" i="2"/>
  <c r="B25" i="2"/>
  <c r="AN24" i="2"/>
  <c r="AM24" i="2"/>
  <c r="AL24" i="2"/>
  <c r="N24" i="2"/>
  <c r="L24" i="2"/>
  <c r="K24" i="2"/>
  <c r="E24" i="2"/>
  <c r="AN23" i="2"/>
  <c r="AM23" i="2"/>
  <c r="AL23" i="2"/>
  <c r="P23" i="2"/>
  <c r="N23" i="2"/>
  <c r="K23" i="2"/>
  <c r="E23" i="2"/>
  <c r="AN22" i="2"/>
  <c r="AM22" i="2"/>
  <c r="AL22" i="2"/>
  <c r="N22" i="2"/>
  <c r="E22" i="2"/>
  <c r="AN21" i="2"/>
  <c r="AM21" i="2"/>
  <c r="AL21" i="2"/>
  <c r="N21" i="2"/>
  <c r="E21" i="2"/>
  <c r="AN20" i="2"/>
  <c r="AM20" i="2"/>
  <c r="AL20" i="2"/>
  <c r="O20" i="2"/>
  <c r="O28" i="2" s="1"/>
  <c r="N20" i="2"/>
  <c r="H20" i="2"/>
  <c r="H28" i="2" s="1"/>
  <c r="E20" i="2"/>
  <c r="AN19" i="2"/>
  <c r="AM19" i="2"/>
  <c r="AL19" i="2"/>
  <c r="N19" i="2"/>
  <c r="E19" i="2"/>
  <c r="AN18" i="2"/>
  <c r="AM18" i="2"/>
  <c r="AI18" i="2"/>
  <c r="P18" i="2"/>
  <c r="N18" i="2"/>
  <c r="L18" i="2"/>
  <c r="K18" i="2"/>
  <c r="G18" i="2"/>
  <c r="E18" i="2"/>
  <c r="C18" i="2"/>
  <c r="AN17" i="2"/>
  <c r="AM17" i="2"/>
  <c r="N17" i="2"/>
  <c r="K17" i="2"/>
  <c r="AN16" i="2"/>
  <c r="AM16" i="2"/>
  <c r="AL16" i="2"/>
  <c r="AI16" i="2"/>
  <c r="P16" i="2"/>
  <c r="N16" i="2"/>
  <c r="K16" i="2"/>
  <c r="J16" i="2"/>
  <c r="G16" i="2"/>
  <c r="AN15" i="2"/>
  <c r="AM15" i="2"/>
  <c r="AL15" i="2"/>
  <c r="N15" i="2"/>
  <c r="K15" i="2"/>
  <c r="J15" i="2"/>
  <c r="AN14" i="2"/>
  <c r="AM14" i="2"/>
  <c r="AL14" i="2"/>
  <c r="N14" i="2"/>
  <c r="K14" i="2"/>
  <c r="AN13" i="2"/>
  <c r="AM13" i="2"/>
  <c r="AL13" i="2"/>
  <c r="N13" i="2"/>
  <c r="K13" i="2"/>
  <c r="AN12" i="2"/>
  <c r="AM12" i="2"/>
  <c r="AL12" i="2"/>
  <c r="N12" i="2"/>
  <c r="R12" i="2" s="1"/>
  <c r="AN11" i="2"/>
  <c r="AM11" i="2"/>
  <c r="AL11" i="2"/>
  <c r="N11" i="2"/>
  <c r="R11" i="2" s="1"/>
  <c r="AN10" i="2"/>
  <c r="AM10" i="2"/>
  <c r="AL10" i="2"/>
  <c r="N10" i="2"/>
  <c r="K10" i="2"/>
  <c r="AN9" i="2"/>
  <c r="AM9" i="2"/>
  <c r="AL9" i="2"/>
  <c r="N9" i="2"/>
  <c r="K9" i="2"/>
  <c r="R9" i="2" s="1"/>
  <c r="AN8" i="2"/>
  <c r="AM8" i="2"/>
  <c r="AL8" i="2"/>
  <c r="N8" i="2"/>
  <c r="K8" i="2"/>
  <c r="E8" i="2"/>
  <c r="AN7" i="2"/>
  <c r="AM7" i="2"/>
  <c r="AL7" i="2"/>
  <c r="P7" i="2"/>
  <c r="N7" i="2"/>
  <c r="M7" i="2"/>
  <c r="M28" i="2" s="1"/>
  <c r="K7" i="2"/>
  <c r="G7" i="2"/>
  <c r="R15" i="2" l="1"/>
  <c r="R17" i="2"/>
  <c r="R26" i="2"/>
  <c r="R14" i="2"/>
  <c r="R7" i="2"/>
  <c r="R8" i="2"/>
  <c r="R13" i="2"/>
  <c r="R16" i="2"/>
  <c r="R22" i="2"/>
  <c r="R10" i="2"/>
  <c r="R21" i="2"/>
  <c r="R25" i="2"/>
  <c r="R20" i="2"/>
  <c r="R24" i="2"/>
  <c r="C28" i="2"/>
  <c r="R18" i="2"/>
  <c r="R23" i="2"/>
  <c r="R19" i="2"/>
  <c r="R27" i="2"/>
  <c r="J28" i="2"/>
  <c r="AI28" i="2"/>
  <c r="C7" i="4" s="1"/>
  <c r="F28" i="2"/>
  <c r="G28" i="2"/>
  <c r="L28" i="2"/>
  <c r="E28" i="2"/>
  <c r="B28" i="2"/>
  <c r="AL28" i="2"/>
  <c r="AN28" i="2"/>
  <c r="N28" i="2"/>
  <c r="P28" i="2"/>
  <c r="AM28" i="2"/>
  <c r="K28" i="2"/>
  <c r="R28" i="2" l="1"/>
  <c r="AH7" i="2"/>
  <c r="AH25" i="2"/>
  <c r="AH11" i="2"/>
  <c r="AH9" i="2"/>
  <c r="AH10" i="2"/>
  <c r="AH20" i="2"/>
  <c r="AH13" i="2"/>
  <c r="AH12" i="2"/>
  <c r="AH23" i="2"/>
  <c r="AH16" i="2"/>
  <c r="AH17" i="2"/>
  <c r="AH15" i="2"/>
  <c r="AH27" i="2"/>
  <c r="AH19" i="2"/>
  <c r="AH22" i="2"/>
  <c r="AH14" i="2"/>
  <c r="AH21" i="2"/>
  <c r="AH8" i="2"/>
  <c r="AH26" i="2"/>
  <c r="AH24" i="2"/>
  <c r="AH18" i="2"/>
  <c r="AH28" i="2" l="1"/>
  <c r="C6" i="4"/>
  <c r="C21" i="4" s="1"/>
  <c r="C31" i="4" l="1"/>
  <c r="AC10" i="2" s="1"/>
  <c r="C28" i="4"/>
  <c r="Z21" i="2" s="1"/>
  <c r="C32" i="4"/>
  <c r="AD13" i="2" s="1"/>
  <c r="C29" i="4"/>
  <c r="AA17" i="2" s="1"/>
  <c r="C30" i="4"/>
  <c r="AC25" i="2" l="1"/>
  <c r="AC26" i="2"/>
  <c r="AC18" i="2"/>
  <c r="Z27" i="2"/>
  <c r="Z9" i="2"/>
  <c r="Z19" i="2"/>
  <c r="Z8" i="2"/>
  <c r="Z10" i="2"/>
  <c r="AC27" i="2"/>
  <c r="AC19" i="2"/>
  <c r="AC20" i="2"/>
  <c r="AA19" i="2"/>
  <c r="Z11" i="2"/>
  <c r="AC9" i="2"/>
  <c r="Z7" i="2"/>
  <c r="Z18" i="2"/>
  <c r="AC24" i="2"/>
  <c r="AC17" i="2"/>
  <c r="AC23" i="2"/>
  <c r="Z15" i="2"/>
  <c r="Z17" i="2"/>
  <c r="AC16" i="2"/>
  <c r="AC21" i="2"/>
  <c r="Z20" i="2"/>
  <c r="Z26" i="2"/>
  <c r="Z25" i="2"/>
  <c r="AC11" i="2"/>
  <c r="AC13" i="2"/>
  <c r="Z13" i="2"/>
  <c r="Z23" i="2"/>
  <c r="AC12" i="2"/>
  <c r="AC7" i="2"/>
  <c r="Z12" i="2"/>
  <c r="AC15" i="2"/>
  <c r="AC8" i="2"/>
  <c r="Z16" i="2"/>
  <c r="Z24" i="2"/>
  <c r="AC22" i="2"/>
  <c r="AC14" i="2"/>
  <c r="Z22" i="2"/>
  <c r="AA15" i="2"/>
  <c r="AA12" i="2"/>
  <c r="AA18" i="2"/>
  <c r="AA11" i="2"/>
  <c r="Z14" i="2"/>
  <c r="AD26" i="2"/>
  <c r="AD16" i="2"/>
  <c r="AD25" i="2"/>
  <c r="AD27" i="2"/>
  <c r="AD9" i="2"/>
  <c r="AA7" i="2"/>
  <c r="AD19" i="2"/>
  <c r="AD23" i="2"/>
  <c r="AD18" i="2"/>
  <c r="AD20" i="2"/>
  <c r="AD22" i="2"/>
  <c r="AD21" i="2"/>
  <c r="AA27" i="2"/>
  <c r="AD10" i="2"/>
  <c r="AD14" i="2"/>
  <c r="AD11" i="2"/>
  <c r="AD17" i="2"/>
  <c r="AD24" i="2"/>
  <c r="AD12" i="2"/>
  <c r="AD7" i="2"/>
  <c r="AA23" i="2"/>
  <c r="AD8" i="2"/>
  <c r="AD15" i="2"/>
  <c r="AA25" i="2"/>
  <c r="AA21" i="2"/>
  <c r="AA9" i="2"/>
  <c r="AA16" i="2"/>
  <c r="AA10" i="2"/>
  <c r="AA24" i="2"/>
  <c r="AA8" i="2"/>
  <c r="AA13" i="2"/>
  <c r="AA26" i="2"/>
  <c r="AA14" i="2"/>
  <c r="AA22" i="2"/>
  <c r="AA20" i="2"/>
  <c r="AB13" i="2"/>
  <c r="AB20" i="2"/>
  <c r="AB7" i="2"/>
  <c r="AB23" i="2"/>
  <c r="AB14" i="2"/>
  <c r="AB16" i="2"/>
  <c r="AB8" i="2"/>
  <c r="AB9" i="2"/>
  <c r="AB21" i="2"/>
  <c r="AB22" i="2"/>
  <c r="AB15" i="2"/>
  <c r="AB17" i="2"/>
  <c r="AB26" i="2"/>
  <c r="AB19" i="2"/>
  <c r="AB18" i="2"/>
  <c r="AB11" i="2"/>
  <c r="AB12" i="2"/>
  <c r="AB27" i="2"/>
  <c r="AB24" i="2"/>
  <c r="AB10" i="2"/>
  <c r="AB25" i="2"/>
  <c r="C27" i="4"/>
  <c r="AC28" i="2" l="1"/>
  <c r="AE17" i="2"/>
  <c r="AP17" i="2" s="1"/>
  <c r="AQ17" i="2" s="1"/>
  <c r="Z28" i="2"/>
  <c r="AE19" i="2"/>
  <c r="AP19" i="2" s="1"/>
  <c r="AQ19" i="2" s="1"/>
  <c r="AD28" i="2"/>
  <c r="AE21" i="2"/>
  <c r="AP21" i="2" s="1"/>
  <c r="AQ21" i="2" s="1"/>
  <c r="AE12" i="2"/>
  <c r="AP12" i="2" s="1"/>
  <c r="AQ12" i="2" s="1"/>
  <c r="AA28" i="2"/>
  <c r="AE9" i="2"/>
  <c r="AP9" i="2" s="1"/>
  <c r="AQ9" i="2" s="1"/>
  <c r="AE18" i="2"/>
  <c r="AP18" i="2" s="1"/>
  <c r="AQ18" i="2" s="1"/>
  <c r="AE8" i="2"/>
  <c r="AP8" i="2" s="1"/>
  <c r="AQ8" i="2" s="1"/>
  <c r="AE13" i="2"/>
  <c r="AP13" i="2" s="1"/>
  <c r="AQ13" i="2" s="1"/>
  <c r="AE26" i="2"/>
  <c r="AP26" i="2" s="1"/>
  <c r="AQ26" i="2" s="1"/>
  <c r="AE23" i="2"/>
  <c r="AP23" i="2" s="1"/>
  <c r="AQ23" i="2" s="1"/>
  <c r="AE14" i="2"/>
  <c r="AP14" i="2" s="1"/>
  <c r="AQ14" i="2" s="1"/>
  <c r="AE24" i="2"/>
  <c r="AP24" i="2" s="1"/>
  <c r="AQ24" i="2" s="1"/>
  <c r="AE15" i="2"/>
  <c r="AP15" i="2" s="1"/>
  <c r="AQ15" i="2" s="1"/>
  <c r="AE7" i="2"/>
  <c r="AP7" i="2" s="1"/>
  <c r="AE11" i="2"/>
  <c r="AP11" i="2" s="1"/>
  <c r="AQ11" i="2" s="1"/>
  <c r="AE25" i="2"/>
  <c r="AP25" i="2" s="1"/>
  <c r="AQ25" i="2" s="1"/>
  <c r="AE10" i="2"/>
  <c r="AP10" i="2" s="1"/>
  <c r="AQ10" i="2" s="1"/>
  <c r="AE27" i="2"/>
  <c r="AP27" i="2" s="1"/>
  <c r="AQ27" i="2" s="1"/>
  <c r="AE22" i="2"/>
  <c r="AP22" i="2" s="1"/>
  <c r="AQ22" i="2" s="1"/>
  <c r="AE16" i="2"/>
  <c r="AP16" i="2" s="1"/>
  <c r="AQ16" i="2" s="1"/>
  <c r="AE20" i="2"/>
  <c r="AP20" i="2" s="1"/>
  <c r="AQ20" i="2" s="1"/>
  <c r="AB28" i="2"/>
  <c r="AV14" i="2" l="1"/>
  <c r="AV12" i="2"/>
  <c r="AV24" i="2"/>
  <c r="AV21" i="2"/>
  <c r="AV16" i="2"/>
  <c r="AV10" i="2"/>
  <c r="AV25" i="2"/>
  <c r="AV13" i="2"/>
  <c r="AV19" i="2"/>
  <c r="AV22" i="2"/>
  <c r="AV26" i="2"/>
  <c r="AV11" i="2"/>
  <c r="AV8" i="2"/>
  <c r="AV27" i="2"/>
  <c r="AV18" i="2"/>
  <c r="AV17" i="2"/>
  <c r="AV23" i="2"/>
  <c r="AV20" i="2"/>
  <c r="AV15" i="2"/>
  <c r="AV9" i="2"/>
  <c r="AE28" i="2"/>
  <c r="AP28" i="2"/>
  <c r="AQ7" i="2"/>
  <c r="AV7" i="2" l="1"/>
  <c r="AQ28" i="2"/>
  <c r="AV28" i="2" l="1"/>
  <c r="AR26" i="2"/>
  <c r="AR11" i="2"/>
  <c r="AR14" i="2"/>
  <c r="AR13" i="2"/>
  <c r="AR22" i="2"/>
  <c r="AR10" i="2"/>
  <c r="AR15" i="2"/>
  <c r="AR16" i="2"/>
  <c r="AR23" i="2"/>
  <c r="AR20" i="2"/>
  <c r="AR25" i="2"/>
  <c r="AR12" i="2"/>
  <c r="AR21" i="2"/>
  <c r="AR19" i="2"/>
  <c r="AR9" i="2"/>
  <c r="AR8" i="2"/>
  <c r="AR27" i="2"/>
  <c r="AR18" i="2"/>
  <c r="AR17" i="2"/>
  <c r="AR28" i="2"/>
  <c r="AR24" i="2"/>
  <c r="AR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tc={BDF2AAF1-6B8D-4163-BA0F-5D294DD4AF23}</author>
  </authors>
  <commentList>
    <comment ref="AQ28" authorId="0" shapeId="0" xr:uid="{BDF2AAF1-6B8D-4163-BA0F-5D294DD4AF23}">
      <text>
        <t>[Trådad kommentar]
I din version av Excel kan du läsa den här trådade kommentaren, men eventuella ändringar i den tas bort om filen öppnas i en senare version av Excel. Läs mer: https://go.microsoft.com/fwlink/?linkid=870924
Kommentar:
    Ap 1-21 samt Ap 23-30</t>
      </text>
    </comment>
  </commentList>
</comments>
</file>

<file path=xl/sharedStrings.xml><?xml version="1.0" encoding="utf-8"?>
<sst xmlns="http://schemas.openxmlformats.org/spreadsheetml/2006/main" count="167" uniqueCount="100">
  <si>
    <t>Fördelning anslag 5:1 Länsstyrelserna m.m. för 2021 - Översikt</t>
  </si>
  <si>
    <t>Anslag 5:1 Länsstyrelserna m.m., 2021</t>
  </si>
  <si>
    <t xml:space="preserve">Avgår särskilda medel </t>
  </si>
  <si>
    <t>Ap 22 Utvecklingsinsatser m.m.</t>
  </si>
  <si>
    <t>Riktade medel</t>
  </si>
  <si>
    <t xml:space="preserve">Extra orter </t>
  </si>
  <si>
    <t>6*3 mnkr, ej PLO</t>
  </si>
  <si>
    <t>Grundbelopp</t>
  </si>
  <si>
    <t>42,5 mnkr/länsstyrelse</t>
  </si>
  <si>
    <t>Utvecklingsmedel, Västmanland</t>
  </si>
  <si>
    <t>Dispositionsrätt, Örebro</t>
  </si>
  <si>
    <t>Fördelning genom fem parametrar</t>
  </si>
  <si>
    <t>(Tusental kronor)</t>
  </si>
  <si>
    <t>PARAMETER</t>
  </si>
  <si>
    <t>VIKT</t>
  </si>
  <si>
    <t>FÖRDELNING</t>
  </si>
  <si>
    <t>Totalt</t>
  </si>
  <si>
    <t xml:space="preserve">Folkmängd </t>
  </si>
  <si>
    <t>Areal</t>
  </si>
  <si>
    <t>Antal kommuner, dubbel vikt landsbygdskommuner</t>
  </si>
  <si>
    <t>Miljöavgifter</t>
  </si>
  <si>
    <t>Jordbruksföretag</t>
  </si>
  <si>
    <t>Fördelning Anslag 5:1 Länsstyrelserna m.m. per länsstyrelse - Riktade medel</t>
  </si>
  <si>
    <t>Fördelning Anslag 5:1 Länsstyrelserna m.m. per länsstyrelse - Parametrar</t>
  </si>
  <si>
    <t>Fördelning Anslag 5:1 Länsstyrelserna m.m. per länsstyrelse - Samlad fördelning</t>
  </si>
  <si>
    <t>RIKTADE MEDEL</t>
  </si>
  <si>
    <t>DE FEM PARAMETRARNA</t>
  </si>
  <si>
    <t>RESULTAT PER PARAMETER</t>
  </si>
  <si>
    <t>DEN SAMLADE FÖRDELNINGEN</t>
  </si>
  <si>
    <t>Ren-näring</t>
  </si>
  <si>
    <t xml:space="preserve">GIS </t>
  </si>
  <si>
    <t xml:space="preserve"> Miljö-samverkan Sverige</t>
  </si>
  <si>
    <t>Rovdjurs-förvaltning 2007</t>
  </si>
  <si>
    <t xml:space="preserve">EU:s territoriella program </t>
  </si>
  <si>
    <t>Penning-tvätt 2009, 2012, 2020</t>
  </si>
  <si>
    <t>Kamp-sport 2010</t>
  </si>
  <si>
    <t>Samordn. flykting-mott./etabl.</t>
  </si>
  <si>
    <t>Överf. jordbruks-stöd</t>
  </si>
  <si>
    <t>Havsplan-ering 2012</t>
  </si>
  <si>
    <t>Uppgift från FiskV</t>
  </si>
  <si>
    <t>Central mynd. intern delg. 2014</t>
  </si>
  <si>
    <t>Civilt försvar BP18</t>
  </si>
  <si>
    <t>Djurfrågor BP18</t>
  </si>
  <si>
    <t>GRÖT BP18, avfallstransporter</t>
  </si>
  <si>
    <t>Summa</t>
  </si>
  <si>
    <t>Folk-mängd</t>
  </si>
  <si>
    <t xml:space="preserve">Areal </t>
  </si>
  <si>
    <t>Kommun-antal</t>
  </si>
  <si>
    <t>Miljö-avgift</t>
  </si>
  <si>
    <t>Jordbruks-företag</t>
  </si>
  <si>
    <t>Kommunantal</t>
  </si>
  <si>
    <t>Miljö-avgifter</t>
  </si>
  <si>
    <t>SUMMA 5 parametrar</t>
  </si>
  <si>
    <t>Extra orter</t>
  </si>
  <si>
    <t>Enskilda belopp</t>
  </si>
  <si>
    <t>Konc. av MPD</t>
  </si>
  <si>
    <t>Konc. av stiftelser</t>
  </si>
  <si>
    <t xml:space="preserve">Konc. av div. </t>
  </si>
  <si>
    <t>Fem parametrar</t>
  </si>
  <si>
    <t>Summa/ länsstyrelse</t>
  </si>
  <si>
    <t>Andel</t>
  </si>
  <si>
    <t>a-kredit 3%</t>
  </si>
  <si>
    <t>PLO/Ej PLO</t>
  </si>
  <si>
    <t>PLO</t>
  </si>
  <si>
    <t>Ej PLO</t>
  </si>
  <si>
    <t>Stockholm</t>
  </si>
  <si>
    <t>Uppsala</t>
  </si>
  <si>
    <t>Södermanland</t>
  </si>
  <si>
    <t>Östergötland</t>
  </si>
  <si>
    <t>Jönköping</t>
  </si>
  <si>
    <t>Kronoberg</t>
  </si>
  <si>
    <t>Kalmar</t>
  </si>
  <si>
    <t>Gotland</t>
  </si>
  <si>
    <t>Blekinge</t>
  </si>
  <si>
    <t>Skåne</t>
  </si>
  <si>
    <t>Halland</t>
  </si>
  <si>
    <t>Västra Götaland</t>
  </si>
  <si>
    <t>Värmland</t>
  </si>
  <si>
    <t>Örebro</t>
  </si>
  <si>
    <t>Västmanland</t>
  </si>
  <si>
    <t>Dalarna</t>
  </si>
  <si>
    <t>Gävleborg</t>
  </si>
  <si>
    <t>Västernorrland</t>
  </si>
  <si>
    <t>Jämtland</t>
  </si>
  <si>
    <t>Västerbotten</t>
  </si>
  <si>
    <t>Norrbotten</t>
  </si>
  <si>
    <t>Summa totalt</t>
  </si>
  <si>
    <t>Information Sverige, Västra Götaland</t>
  </si>
  <si>
    <t>Digitalisering samhällsbyggn.-processen, Västmanland</t>
  </si>
  <si>
    <t>Arbetet med återkrav, Örebro</t>
  </si>
  <si>
    <t xml:space="preserve">Effektiv och rättssäker tillsyn, Västernorrland </t>
  </si>
  <si>
    <t>Statlig service och närvaro, Örebro</t>
  </si>
  <si>
    <t>Prisma, Södermanland</t>
  </si>
  <si>
    <t>Effektivisering av prövningsverksamheten, Blekinge</t>
  </si>
  <si>
    <t>Samordning mäns våld mot kvinnor, Kronoberg</t>
  </si>
  <si>
    <t>Anmärkning</t>
  </si>
  <si>
    <t>Omsättningsstöd för enskilda näringsidkare, Örebro</t>
  </si>
  <si>
    <t>Tillsyn maa säk.skydds-lagen</t>
  </si>
  <si>
    <t>Infasning fördelnings-modell  (2/3)</t>
  </si>
  <si>
    <t>Extra ändringsbudget 1 och Extra ändringsbudget 4, Örebro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</si>
</sst>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b/>
      <sz val="1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sz val="8"/>
      <color theme="0"/>
      <name val="Arial"/>
      <family val="2"/>
    </font>
    <font>
      <sz val="8"/>
      <color rgb="FFFF0000"/>
      <name val="Arial"/>
      <family val="2"/>
    </font>
    <font>
      <b/>
      <sz val="8"/>
      <name val="Arial"/>
      <family val="2"/>
    </font>
    <font>
      <strike/>
      <sz val="10"/>
      <name val="Arial"/>
      <family val="2"/>
    </font>
    <font>
      <strike/>
      <sz val="8"/>
      <name val="Arial"/>
      <family val="2"/>
    </font>
    <font>
      <b/>
      <strike/>
      <sz val="8"/>
      <name val="Arial"/>
      <family val="2"/>
    </font>
    <font>
      <sz val="8"/>
      <name val="OrigGarmnd BT"/>
      <family val="1"/>
    </font>
    <font>
      <b/>
      <sz val="8"/>
      <color theme="0" tint="-0.249977111117893"/>
      <name val="Arial"/>
      <family val="2"/>
    </font>
    <font>
      <sz val="8"/>
      <color theme="0" tint="-0.249977111117893"/>
      <name val="Arial"/>
      <family val="2"/>
    </font>
    <font>
      <strike/>
      <sz val="8"/>
      <name val="OrigGarmnd BT"/>
      <family val="1"/>
    </font>
    <font>
      <b/>
      <sz val="8"/>
      <name val="OrigGarmnd BT"/>
      <family val="1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8"/>
      <name val="Trade Gothic LT Std Cn"/>
      <family val="3"/>
    </font>
    <font>
      <i/>
      <sz val="9"/>
      <name val="Arial"/>
      <family val="2"/>
    </font>
    <font>
      <sz val="10"/>
      <color rgb="FF000000"/>
      <name val="Arial"/>
      <family val="2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41"/>
      </patternFill>
    </fill>
    <fill>
      <patternFill patternType="solid">
        <fgColor theme="1"/>
        <bgColor indexed="64"/>
      </patternFill>
    </fill>
    <fill>
      <patternFill patternType="solid">
        <fgColor theme="1"/>
        <bgColor indexed="41"/>
      </patternFill>
    </fill>
    <fill>
      <patternFill patternType="solid">
        <fgColor rgb="FFFF99F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4" fillId="0" borderId="0"/>
  </cellStyleXfs>
  <cellXfs count="159">
    <xf numFmtId="0" fontId="0" fillId="0" borderId="0" xfId="0"/>
    <xf numFmtId="0" fontId="2" fillId="2" borderId="0" xfId="2" applyFill="1" applyAlignment="1">
      <alignment horizontal="left" vertical="top"/>
    </xf>
    <xf numFmtId="0" fontId="2" fillId="2" borderId="0" xfId="2" applyFill="1" applyAlignment="1">
      <alignment horizontal="right"/>
    </xf>
    <xf numFmtId="164" fontId="3" fillId="2" borderId="11" xfId="3" applyNumberFormat="1" applyFont="1" applyFill="1" applyBorder="1" applyAlignment="1">
      <alignment horizontal="right"/>
    </xf>
    <xf numFmtId="0" fontId="10" fillId="3" borderId="6" xfId="2" applyFont="1" applyFill="1" applyBorder="1"/>
    <xf numFmtId="3" fontId="3" fillId="3" borderId="0" xfId="2" applyNumberFormat="1" applyFont="1" applyFill="1" applyAlignment="1">
      <alignment horizontal="right"/>
    </xf>
    <xf numFmtId="164" fontId="3" fillId="2" borderId="0" xfId="3" applyNumberFormat="1" applyFont="1" applyFill="1" applyAlignment="1">
      <alignment horizontal="right"/>
    </xf>
    <xf numFmtId="3" fontId="3" fillId="2" borderId="0" xfId="2" applyNumberFormat="1" applyFont="1" applyFill="1"/>
    <xf numFmtId="0" fontId="7" fillId="4" borderId="0" xfId="2" applyFont="1" applyFill="1"/>
    <xf numFmtId="0" fontId="6" fillId="4" borderId="0" xfId="2" applyFont="1" applyFill="1"/>
    <xf numFmtId="0" fontId="7" fillId="4" borderId="0" xfId="2" applyFont="1" applyFill="1" applyAlignment="1">
      <alignment horizontal="center"/>
    </xf>
    <xf numFmtId="3" fontId="7" fillId="4" borderId="0" xfId="2" applyNumberFormat="1" applyFont="1" applyFill="1" applyAlignment="1">
      <alignment horizontal="right"/>
    </xf>
    <xf numFmtId="3" fontId="13" fillId="2" borderId="11" xfId="2" applyNumberFormat="1" applyFont="1" applyFill="1" applyBorder="1" applyAlignment="1">
      <alignment horizontal="right"/>
    </xf>
    <xf numFmtId="0" fontId="10" fillId="2" borderId="0" xfId="2" applyFont="1" applyFill="1"/>
    <xf numFmtId="0" fontId="3" fillId="2" borderId="0" xfId="2" applyFont="1" applyFill="1"/>
    <xf numFmtId="0" fontId="15" fillId="2" borderId="0" xfId="2" applyFont="1" applyFill="1"/>
    <xf numFmtId="164" fontId="16" fillId="2" borderId="0" xfId="1" applyNumberFormat="1" applyFont="1" applyFill="1"/>
    <xf numFmtId="0" fontId="12" fillId="2" borderId="0" xfId="2" applyFont="1" applyFill="1"/>
    <xf numFmtId="0" fontId="17" fillId="2" borderId="0" xfId="2" applyFont="1" applyFill="1"/>
    <xf numFmtId="0" fontId="14" fillId="2" borderId="0" xfId="2" applyFont="1" applyFill="1"/>
    <xf numFmtId="0" fontId="18" fillId="2" borderId="0" xfId="2" applyFont="1" applyFill="1"/>
    <xf numFmtId="0" fontId="2" fillId="4" borderId="0" xfId="2" applyFill="1"/>
    <xf numFmtId="0" fontId="7" fillId="4" borderId="0" xfId="2" applyFont="1" applyFill="1" applyAlignment="1">
      <alignment horizontal="left"/>
    </xf>
    <xf numFmtId="0" fontId="8" fillId="4" borderId="0" xfId="2" applyFont="1" applyFill="1" applyAlignment="1">
      <alignment horizontal="right"/>
    </xf>
    <xf numFmtId="0" fontId="2" fillId="4" borderId="0" xfId="2" applyFill="1" applyAlignment="1">
      <alignment horizontal="left" vertical="top"/>
    </xf>
    <xf numFmtId="0" fontId="9" fillId="4" borderId="0" xfId="2" applyFont="1" applyFill="1" applyAlignment="1">
      <alignment horizontal="right"/>
    </xf>
    <xf numFmtId="0" fontId="3" fillId="2" borderId="11" xfId="2" applyFont="1" applyFill="1" applyBorder="1" applyAlignment="1">
      <alignment horizontal="right"/>
    </xf>
    <xf numFmtId="3" fontId="3" fillId="2" borderId="11" xfId="2" applyNumberFormat="1" applyFont="1" applyFill="1" applyBorder="1" applyAlignment="1">
      <alignment horizontal="right"/>
    </xf>
    <xf numFmtId="3" fontId="3" fillId="2" borderId="0" xfId="2" applyNumberFormat="1" applyFont="1" applyFill="1" applyAlignment="1">
      <alignment horizontal="right"/>
    </xf>
    <xf numFmtId="3" fontId="12" fillId="2" borderId="0" xfId="2" applyNumberFormat="1" applyFont="1" applyFill="1"/>
    <xf numFmtId="0" fontId="13" fillId="2" borderId="0" xfId="2" applyFont="1" applyFill="1"/>
    <xf numFmtId="3" fontId="13" fillId="2" borderId="0" xfId="2" applyNumberFormat="1" applyFont="1" applyFill="1"/>
    <xf numFmtId="3" fontId="10" fillId="2" borderId="0" xfId="2" applyNumberFormat="1" applyFont="1" applyFill="1" applyAlignment="1">
      <alignment horizontal="right"/>
    </xf>
    <xf numFmtId="0" fontId="3" fillId="2" borderId="0" xfId="2" applyFont="1" applyFill="1" applyAlignment="1">
      <alignment horizontal="right"/>
    </xf>
    <xf numFmtId="0" fontId="21" fillId="2" borderId="0" xfId="2" applyFont="1" applyFill="1"/>
    <xf numFmtId="0" fontId="2" fillId="2" borderId="0" xfId="2" applyFill="1"/>
    <xf numFmtId="0" fontId="0" fillId="2" borderId="0" xfId="0" applyFill="1"/>
    <xf numFmtId="0" fontId="5" fillId="2" borderId="13" xfId="2" applyFont="1" applyFill="1" applyBorder="1"/>
    <xf numFmtId="3" fontId="2" fillId="2" borderId="0" xfId="2" applyNumberFormat="1" applyFill="1" applyAlignment="1">
      <alignment horizontal="right"/>
    </xf>
    <xf numFmtId="0" fontId="19" fillId="2" borderId="14" xfId="2" applyFont="1" applyFill="1" applyBorder="1" applyAlignment="1">
      <alignment horizontal="right"/>
    </xf>
    <xf numFmtId="0" fontId="5" fillId="2" borderId="17" xfId="2" applyFont="1" applyFill="1" applyBorder="1"/>
    <xf numFmtId="0" fontId="5" fillId="2" borderId="18" xfId="2" applyFont="1" applyFill="1" applyBorder="1" applyAlignment="1">
      <alignment horizontal="right"/>
    </xf>
    <xf numFmtId="3" fontId="5" fillId="2" borderId="18" xfId="2" applyNumberFormat="1" applyFont="1" applyFill="1" applyBorder="1" applyAlignment="1">
      <alignment horizontal="right"/>
    </xf>
    <xf numFmtId="0" fontId="5" fillId="2" borderId="19" xfId="2" applyFont="1" applyFill="1" applyBorder="1" applyAlignment="1">
      <alignment horizontal="right"/>
    </xf>
    <xf numFmtId="0" fontId="2" fillId="2" borderId="9" xfId="2" applyFill="1" applyBorder="1" applyAlignment="1">
      <alignment horizontal="right"/>
    </xf>
    <xf numFmtId="2" fontId="2" fillId="2" borderId="0" xfId="2" applyNumberFormat="1" applyFill="1" applyAlignment="1">
      <alignment horizontal="right"/>
    </xf>
    <xf numFmtId="0" fontId="5" fillId="2" borderId="0" xfId="2" applyFont="1" applyFill="1"/>
    <xf numFmtId="3" fontId="5" fillId="2" borderId="0" xfId="2" applyNumberFormat="1" applyFont="1" applyFill="1"/>
    <xf numFmtId="164" fontId="5" fillId="2" borderId="0" xfId="2" applyNumberFormat="1" applyFont="1" applyFill="1"/>
    <xf numFmtId="3" fontId="5" fillId="2" borderId="14" xfId="2" applyNumberFormat="1" applyFont="1" applyFill="1" applyBorder="1"/>
    <xf numFmtId="0" fontId="2" fillId="2" borderId="13" xfId="2" applyFill="1" applyBorder="1"/>
    <xf numFmtId="164" fontId="2" fillId="2" borderId="0" xfId="3" applyNumberFormat="1" applyFill="1"/>
    <xf numFmtId="3" fontId="2" fillId="2" borderId="14" xfId="2" applyNumberFormat="1" applyFill="1" applyBorder="1"/>
    <xf numFmtId="164" fontId="2" fillId="2" borderId="0" xfId="3" quotePrefix="1" applyNumberFormat="1" applyFill="1"/>
    <xf numFmtId="0" fontId="2" fillId="2" borderId="17" xfId="2" applyFill="1" applyBorder="1"/>
    <xf numFmtId="164" fontId="2" fillId="2" borderId="18" xfId="3" applyNumberFormat="1" applyFill="1" applyBorder="1"/>
    <xf numFmtId="3" fontId="2" fillId="2" borderId="19" xfId="2" applyNumberFormat="1" applyFill="1" applyBorder="1"/>
    <xf numFmtId="0" fontId="20" fillId="2" borderId="0" xfId="0" applyFont="1" applyFill="1"/>
    <xf numFmtId="0" fontId="2" fillId="2" borderId="14" xfId="2" applyFill="1" applyBorder="1" applyAlignment="1">
      <alignment horizontal="left"/>
    </xf>
    <xf numFmtId="0" fontId="22" fillId="2" borderId="9" xfId="2" applyFont="1" applyFill="1" applyBorder="1"/>
    <xf numFmtId="0" fontId="22" fillId="2" borderId="0" xfId="2" applyFont="1" applyFill="1"/>
    <xf numFmtId="0" fontId="3" fillId="4" borderId="3" xfId="2" applyFont="1" applyFill="1" applyBorder="1"/>
    <xf numFmtId="0" fontId="4" fillId="2" borderId="0" xfId="2" applyFont="1" applyFill="1" applyAlignment="1">
      <alignment horizontal="right"/>
    </xf>
    <xf numFmtId="164" fontId="3" fillId="2" borderId="0" xfId="2" applyNumberFormat="1" applyFont="1" applyFill="1" applyAlignment="1">
      <alignment horizontal="right"/>
    </xf>
    <xf numFmtId="3" fontId="5" fillId="2" borderId="0" xfId="2" applyNumberFormat="1" applyFont="1" applyFill="1" applyAlignment="1">
      <alignment horizontal="right"/>
    </xf>
    <xf numFmtId="0" fontId="10" fillId="2" borderId="5" xfId="2" applyFont="1" applyFill="1" applyBorder="1"/>
    <xf numFmtId="0" fontId="10" fillId="2" borderId="0" xfId="2" applyFont="1" applyFill="1" applyAlignment="1">
      <alignment horizontal="center" wrapText="1"/>
    </xf>
    <xf numFmtId="0" fontId="10" fillId="2" borderId="15" xfId="2" applyFont="1" applyFill="1" applyBorder="1" applyAlignment="1">
      <alignment horizontal="center" wrapText="1"/>
    </xf>
    <xf numFmtId="0" fontId="10" fillId="2" borderId="3" xfId="2" applyFont="1" applyFill="1" applyBorder="1" applyAlignment="1">
      <alignment horizontal="right"/>
    </xf>
    <xf numFmtId="3" fontId="10" fillId="2" borderId="6" xfId="2" applyNumberFormat="1" applyFont="1" applyFill="1" applyBorder="1" applyAlignment="1">
      <alignment horizontal="center" wrapText="1"/>
    </xf>
    <xf numFmtId="0" fontId="3" fillId="2" borderId="0" xfId="2" applyFont="1" applyFill="1" applyAlignment="1">
      <alignment horizontal="center" wrapText="1"/>
    </xf>
    <xf numFmtId="0" fontId="10" fillId="2" borderId="1" xfId="2" applyFont="1" applyFill="1" applyBorder="1"/>
    <xf numFmtId="0" fontId="10" fillId="2" borderId="20" xfId="2" applyFont="1" applyFill="1" applyBorder="1" applyAlignment="1">
      <alignment horizontal="center" vertical="center"/>
    </xf>
    <xf numFmtId="0" fontId="10" fillId="2" borderId="4" xfId="2" applyFont="1" applyFill="1" applyBorder="1" applyAlignment="1">
      <alignment horizontal="center"/>
    </xf>
    <xf numFmtId="0" fontId="10" fillId="2" borderId="5" xfId="2" applyFont="1" applyFill="1" applyBorder="1" applyAlignment="1">
      <alignment horizontal="right"/>
    </xf>
    <xf numFmtId="0" fontId="10" fillId="2" borderId="0" xfId="2" applyFont="1" applyFill="1" applyAlignment="1">
      <alignment horizontal="right"/>
    </xf>
    <xf numFmtId="0" fontId="10" fillId="2" borderId="0" xfId="2" applyFont="1" applyFill="1" applyAlignment="1">
      <alignment horizontal="left" vertical="top"/>
    </xf>
    <xf numFmtId="0" fontId="10" fillId="2" borderId="0" xfId="2" applyFont="1" applyFill="1" applyAlignment="1">
      <alignment vertical="top"/>
    </xf>
    <xf numFmtId="0" fontId="10" fillId="2" borderId="15" xfId="2" applyFont="1" applyFill="1" applyBorder="1" applyAlignment="1">
      <alignment horizontal="left" vertical="top"/>
    </xf>
    <xf numFmtId="3" fontId="10" fillId="2" borderId="6" xfId="2" applyNumberFormat="1" applyFont="1" applyFill="1" applyBorder="1"/>
    <xf numFmtId="0" fontId="10" fillId="2" borderId="15" xfId="2" applyFont="1" applyFill="1" applyBorder="1" applyAlignment="1">
      <alignment horizontal="right"/>
    </xf>
    <xf numFmtId="3" fontId="10" fillId="2" borderId="15" xfId="2" applyNumberFormat="1" applyFont="1" applyFill="1" applyBorder="1" applyAlignment="1">
      <alignment horizontal="right"/>
    </xf>
    <xf numFmtId="0" fontId="10" fillId="2" borderId="3" xfId="2" applyFont="1" applyFill="1" applyBorder="1"/>
    <xf numFmtId="10" fontId="3" fillId="2" borderId="11" xfId="3" applyNumberFormat="1" applyFont="1" applyFill="1" applyBorder="1" applyAlignment="1">
      <alignment horizontal="right"/>
    </xf>
    <xf numFmtId="10" fontId="3" fillId="2" borderId="12" xfId="3" applyNumberFormat="1" applyFont="1" applyFill="1" applyBorder="1" applyAlignment="1">
      <alignment horizontal="right"/>
    </xf>
    <xf numFmtId="3" fontId="3" fillId="2" borderId="10" xfId="2" applyNumberFormat="1" applyFont="1" applyFill="1" applyBorder="1"/>
    <xf numFmtId="3" fontId="3" fillId="2" borderId="11" xfId="2" applyNumberFormat="1" applyFont="1" applyFill="1" applyBorder="1"/>
    <xf numFmtId="3" fontId="10" fillId="2" borderId="12" xfId="2" applyNumberFormat="1" applyFont="1" applyFill="1" applyBorder="1"/>
    <xf numFmtId="10" fontId="3" fillId="3" borderId="15" xfId="2" applyNumberFormat="1" applyFont="1" applyFill="1" applyBorder="1" applyAlignment="1">
      <alignment horizontal="right"/>
    </xf>
    <xf numFmtId="10" fontId="3" fillId="2" borderId="0" xfId="3" applyNumberFormat="1" applyFont="1" applyFill="1" applyAlignment="1">
      <alignment horizontal="right"/>
    </xf>
    <xf numFmtId="10" fontId="3" fillId="2" borderId="15" xfId="3" applyNumberFormat="1" applyFont="1" applyFill="1" applyBorder="1" applyAlignment="1">
      <alignment horizontal="right"/>
    </xf>
    <xf numFmtId="3" fontId="3" fillId="2" borderId="6" xfId="2" applyNumberFormat="1" applyFont="1" applyFill="1" applyBorder="1"/>
    <xf numFmtId="3" fontId="10" fillId="2" borderId="15" xfId="2" applyNumberFormat="1" applyFont="1" applyFill="1" applyBorder="1"/>
    <xf numFmtId="3" fontId="10" fillId="2" borderId="0" xfId="2" applyNumberFormat="1" applyFont="1" applyFill="1"/>
    <xf numFmtId="10" fontId="3" fillId="2" borderId="15" xfId="2" applyNumberFormat="1" applyFont="1" applyFill="1" applyBorder="1" applyAlignment="1">
      <alignment horizontal="right"/>
    </xf>
    <xf numFmtId="0" fontId="10" fillId="2" borderId="6" xfId="2" applyFont="1" applyFill="1" applyBorder="1"/>
    <xf numFmtId="3" fontId="10" fillId="2" borderId="1" xfId="2" applyNumberFormat="1" applyFont="1" applyFill="1" applyBorder="1" applyAlignment="1">
      <alignment horizontal="right"/>
    </xf>
    <xf numFmtId="3" fontId="10" fillId="2" borderId="20" xfId="2" applyNumberFormat="1" applyFont="1" applyFill="1" applyBorder="1" applyAlignment="1">
      <alignment horizontal="right"/>
    </xf>
    <xf numFmtId="3" fontId="10" fillId="2" borderId="4" xfId="2" applyNumberFormat="1" applyFont="1" applyFill="1" applyBorder="1" applyAlignment="1">
      <alignment horizontal="right"/>
    </xf>
    <xf numFmtId="9" fontId="3" fillId="2" borderId="20" xfId="3" applyFont="1" applyFill="1" applyBorder="1"/>
    <xf numFmtId="9" fontId="3" fillId="2" borderId="4" xfId="3" applyFont="1" applyFill="1" applyBorder="1"/>
    <xf numFmtId="3" fontId="10" fillId="2" borderId="2" xfId="2" applyNumberFormat="1" applyFont="1" applyFill="1" applyBorder="1"/>
    <xf numFmtId="3" fontId="10" fillId="2" borderId="20" xfId="2" applyNumberFormat="1" applyFont="1" applyFill="1" applyBorder="1"/>
    <xf numFmtId="3" fontId="10" fillId="2" borderId="4" xfId="2" applyNumberFormat="1" applyFont="1" applyFill="1" applyBorder="1"/>
    <xf numFmtId="0" fontId="10" fillId="2" borderId="2" xfId="2" applyFont="1" applyFill="1" applyBorder="1"/>
    <xf numFmtId="9" fontId="10" fillId="2" borderId="4" xfId="3" applyFont="1" applyFill="1" applyBorder="1"/>
    <xf numFmtId="3" fontId="10" fillId="2" borderId="1" xfId="2" applyNumberFormat="1" applyFont="1" applyFill="1" applyBorder="1"/>
    <xf numFmtId="9" fontId="3" fillId="2" borderId="0" xfId="3" applyFont="1" applyFill="1"/>
    <xf numFmtId="0" fontId="3" fillId="3" borderId="10" xfId="2" applyFont="1" applyFill="1" applyBorder="1" applyAlignment="1">
      <alignment horizontal="center" wrapText="1"/>
    </xf>
    <xf numFmtId="0" fontId="10" fillId="3" borderId="11" xfId="2" applyFont="1" applyFill="1" applyBorder="1" applyAlignment="1">
      <alignment horizontal="center" wrapText="1"/>
    </xf>
    <xf numFmtId="0" fontId="10" fillId="3" borderId="10" xfId="2" applyFont="1" applyFill="1" applyBorder="1" applyAlignment="1">
      <alignment horizontal="center" wrapText="1"/>
    </xf>
    <xf numFmtId="0" fontId="10" fillId="2" borderId="12" xfId="2" applyFont="1" applyFill="1" applyBorder="1" applyAlignment="1">
      <alignment horizontal="center" wrapText="1"/>
    </xf>
    <xf numFmtId="0" fontId="3" fillId="3" borderId="8" xfId="2" applyFont="1" applyFill="1" applyBorder="1"/>
    <xf numFmtId="0" fontId="10" fillId="3" borderId="16" xfId="2" applyFont="1" applyFill="1" applyBorder="1" applyAlignment="1">
      <alignment horizontal="left" vertical="top"/>
    </xf>
    <xf numFmtId="0" fontId="10" fillId="3" borderId="8" xfId="2" applyFont="1" applyFill="1" applyBorder="1" applyAlignment="1">
      <alignment horizontal="right"/>
    </xf>
    <xf numFmtId="0" fontId="3" fillId="3" borderId="21" xfId="2" applyFont="1" applyFill="1" applyBorder="1" applyAlignment="1">
      <alignment horizontal="right"/>
    </xf>
    <xf numFmtId="3" fontId="10" fillId="3" borderId="6" xfId="2" applyNumberFormat="1" applyFont="1" applyFill="1" applyBorder="1" applyAlignment="1">
      <alignment horizontal="right"/>
    </xf>
    <xf numFmtId="3" fontId="10" fillId="2" borderId="6" xfId="2" applyNumberFormat="1" applyFont="1" applyFill="1" applyBorder="1" applyAlignment="1">
      <alignment horizontal="right"/>
    </xf>
    <xf numFmtId="0" fontId="10" fillId="2" borderId="1" xfId="2" applyFont="1" applyFill="1" applyBorder="1" applyAlignment="1">
      <alignment horizontal="right"/>
    </xf>
    <xf numFmtId="0" fontId="7" fillId="4" borderId="0" xfId="2" applyFont="1" applyFill="1" applyAlignment="1">
      <alignment horizontal="right"/>
    </xf>
    <xf numFmtId="0" fontId="11" fillId="2" borderId="14" xfId="2" applyFont="1" applyFill="1" applyBorder="1" applyAlignment="1">
      <alignment horizontal="right"/>
    </xf>
    <xf numFmtId="0" fontId="2" fillId="2" borderId="14" xfId="2" applyFill="1" applyBorder="1" applyAlignment="1">
      <alignment horizontal="right"/>
    </xf>
    <xf numFmtId="3" fontId="22" fillId="2" borderId="11" xfId="2" applyNumberFormat="1" applyFont="1" applyFill="1" applyBorder="1" applyAlignment="1">
      <alignment horizontal="left"/>
    </xf>
    <xf numFmtId="3" fontId="23" fillId="2" borderId="0" xfId="2" applyNumberFormat="1" applyFont="1" applyFill="1" applyAlignment="1">
      <alignment horizontal="right"/>
    </xf>
    <xf numFmtId="3" fontId="2" fillId="2" borderId="0" xfId="2" applyNumberFormat="1" applyFont="1" applyFill="1" applyAlignment="1">
      <alignment horizontal="right"/>
    </xf>
    <xf numFmtId="0" fontId="2" fillId="2" borderId="0" xfId="2" applyFill="1" applyAlignment="1">
      <alignment horizontal="right"/>
    </xf>
    <xf numFmtId="0" fontId="0" fillId="4" borderId="0" xfId="0" applyFill="1" applyBorder="1" applyAlignment="1">
      <alignment horizontal="center"/>
    </xf>
    <xf numFmtId="0" fontId="6" fillId="5" borderId="11" xfId="2" applyFont="1" applyFill="1" applyBorder="1" applyAlignment="1">
      <alignment horizontal="center" vertical="center"/>
    </xf>
    <xf numFmtId="0" fontId="6" fillId="5" borderId="12" xfId="2" applyFont="1" applyFill="1" applyBorder="1" applyAlignment="1">
      <alignment horizontal="center" vertical="center"/>
    </xf>
    <xf numFmtId="0" fontId="6" fillId="5" borderId="16" xfId="2" applyFont="1" applyFill="1" applyBorder="1" applyAlignment="1">
      <alignment horizontal="center" vertical="center"/>
    </xf>
    <xf numFmtId="0" fontId="6" fillId="5" borderId="21" xfId="2" applyFont="1" applyFill="1" applyBorder="1" applyAlignment="1">
      <alignment horizontal="center" vertical="center"/>
    </xf>
    <xf numFmtId="0" fontId="10" fillId="2" borderId="16" xfId="2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horizontal="center" wrapText="1"/>
    </xf>
    <xf numFmtId="1" fontId="10" fillId="3" borderId="3" xfId="2" applyNumberFormat="1" applyFont="1" applyFill="1" applyBorder="1" applyAlignment="1">
      <alignment horizontal="center" wrapText="1"/>
    </xf>
    <xf numFmtId="9" fontId="10" fillId="3" borderId="7" xfId="2" applyNumberFormat="1" applyFont="1" applyFill="1" applyBorder="1" applyAlignment="1">
      <alignment horizontal="right"/>
    </xf>
    <xf numFmtId="3" fontId="3" fillId="3" borderId="5" xfId="2" applyNumberFormat="1" applyFont="1" applyFill="1" applyBorder="1" applyAlignment="1">
      <alignment horizontal="right"/>
    </xf>
    <xf numFmtId="3" fontId="3" fillId="2" borderId="5" xfId="2" applyNumberFormat="1" applyFont="1" applyFill="1" applyBorder="1" applyAlignment="1">
      <alignment horizontal="right"/>
    </xf>
    <xf numFmtId="3" fontId="3" fillId="6" borderId="0" xfId="2" applyNumberFormat="1" applyFont="1" applyFill="1"/>
    <xf numFmtId="3" fontId="6" fillId="4" borderId="0" xfId="2" applyNumberFormat="1" applyFont="1" applyFill="1" applyAlignment="1">
      <alignment horizontal="right"/>
    </xf>
    <xf numFmtId="3" fontId="3" fillId="0" borderId="0" xfId="2" applyNumberFormat="1" applyFont="1" applyFill="1" applyAlignment="1">
      <alignment horizontal="right"/>
    </xf>
    <xf numFmtId="3" fontId="10" fillId="0" borderId="6" xfId="2" applyNumberFormat="1" applyFont="1" applyFill="1" applyBorder="1" applyAlignment="1">
      <alignment horizontal="right"/>
    </xf>
    <xf numFmtId="0" fontId="2" fillId="2" borderId="13" xfId="2" applyFont="1" applyFill="1" applyBorder="1" applyAlignment="1">
      <alignment horizontal="right"/>
    </xf>
    <xf numFmtId="0" fontId="2" fillId="2" borderId="0" xfId="2" applyFont="1" applyFill="1" applyBorder="1" applyAlignment="1">
      <alignment horizontal="right"/>
    </xf>
    <xf numFmtId="0" fontId="2" fillId="2" borderId="13" xfId="2" applyFill="1" applyBorder="1" applyAlignment="1">
      <alignment horizontal="right"/>
    </xf>
    <xf numFmtId="0" fontId="2" fillId="2" borderId="0" xfId="2" applyFill="1" applyAlignment="1">
      <alignment horizontal="right"/>
    </xf>
    <xf numFmtId="0" fontId="2" fillId="2" borderId="0" xfId="2" applyFill="1" applyBorder="1" applyAlignment="1">
      <alignment horizontal="right"/>
    </xf>
    <xf numFmtId="0" fontId="2" fillId="2" borderId="0" xfId="2" applyFont="1" applyFill="1" applyAlignment="1">
      <alignment horizontal="right"/>
    </xf>
    <xf numFmtId="0" fontId="6" fillId="4" borderId="10" xfId="2" applyFont="1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6" fillId="4" borderId="10" xfId="2" applyFont="1" applyFill="1" applyBorder="1" applyAlignment="1">
      <alignment horizontal="center" vertical="center"/>
    </xf>
    <xf numFmtId="0" fontId="6" fillId="4" borderId="11" xfId="2" applyFont="1" applyFill="1" applyBorder="1" applyAlignment="1">
      <alignment horizontal="center" vertical="center"/>
    </xf>
    <xf numFmtId="0" fontId="6" fillId="4" borderId="12" xfId="2" applyFont="1" applyFill="1" applyBorder="1" applyAlignment="1">
      <alignment horizontal="center" vertical="center"/>
    </xf>
    <xf numFmtId="0" fontId="6" fillId="4" borderId="6" xfId="2" applyFont="1" applyFill="1" applyBorder="1" applyAlignment="1">
      <alignment horizontal="center" vertical="center"/>
    </xf>
    <xf numFmtId="0" fontId="6" fillId="4" borderId="0" xfId="2" applyFont="1" applyFill="1" applyAlignment="1">
      <alignment horizontal="center" vertical="center"/>
    </xf>
    <xf numFmtId="0" fontId="6" fillId="4" borderId="15" xfId="2" applyFont="1" applyFill="1" applyBorder="1" applyAlignment="1">
      <alignment horizontal="center" vertical="center"/>
    </xf>
    <xf numFmtId="0" fontId="6" fillId="5" borderId="6" xfId="2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8" xfId="0" applyBorder="1" applyAlignment="1"/>
    <xf numFmtId="0" fontId="0" fillId="0" borderId="16" xfId="0" applyBorder="1" applyAlignment="1"/>
  </cellXfs>
  <cellStyles count="5">
    <cellStyle name="Normal" xfId="0" builtinId="0"/>
    <cellStyle name="Normal 2" xfId="2" xr:uid="{8095BE92-064A-4E70-BB39-EE03F8FFC801}"/>
    <cellStyle name="Normal 3" xfId="4" xr:uid="{181151B1-CA27-4EAF-B243-7F7C2FC9406C}"/>
    <cellStyle name="Procent" xfId="1" builtinId="5"/>
    <cellStyle name="Procent 2" xfId="3" xr:uid="{C1D67AC2-77C7-40CA-B221-0083E462A2F0}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13" Type="http://schemas.openxmlformats.org/officeDocument/2006/relationships/customXml" Target="../customXml/item6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11" Type="http://schemas.openxmlformats.org/officeDocument/2006/relationships/customXml" Target="../customXml/item4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ulia Hagberg" id="{F2487372-7CD4-4E9F-99DB-72566A52ADC5}" userId="S::julia.hagberg@regeringskansliet.se::ee2a4175-dc9d-4632-94a7-9c4113a71d09" providerId="AD"/>
</personList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Q28" dT="2020-10-24T21:35:30.73" personId="{F2487372-7CD4-4E9F-99DB-72566A52ADC5}" id="{BDF2AAF1-6B8D-4163-BA0F-5D294DD4AF23}">
    <text>Ap 1-21 samt Ap 23-30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23009-48C4-4E7C-AF85-DA70885CD8A9}">
  <dimension ref="A1:J33"/>
  <sheetViews>
    <sheetView tabSelected="1" zoomScale="82" zoomScaleNormal="82" workbookViewId="0">
      <selection activeCell="I16" sqref="I16"/>
    </sheetView>
  </sheetViews>
  <sheetFormatPr defaultRowHeight="15" x14ac:dyDescent="0.25"/>
  <cols>
    <col min="1" max="1" width="51.28515625" style="36" customWidth="1"/>
    <col min="2" max="2" width="7.7109375" style="36" bestFit="1" customWidth="1"/>
    <col min="3" max="3" width="19.5703125" style="36" customWidth="1"/>
    <col min="4" max="4" width="24.140625" style="36" customWidth="1"/>
    <col min="5" max="16384" width="9.140625" style="36"/>
  </cols>
  <sheetData>
    <row r="1" spans="1:4" ht="23.25" x14ac:dyDescent="0.35">
      <c r="A1" s="34" t="s">
        <v>0</v>
      </c>
      <c r="B1" s="35"/>
      <c r="C1" s="35"/>
      <c r="D1" s="35"/>
    </row>
    <row r="2" spans="1:4" x14ac:dyDescent="0.25">
      <c r="A2" s="35"/>
      <c r="B2" s="35"/>
      <c r="C2" s="35"/>
      <c r="D2" s="35"/>
    </row>
    <row r="3" spans="1:4" ht="15.75" x14ac:dyDescent="0.25">
      <c r="A3" s="9" t="s">
        <v>1</v>
      </c>
      <c r="B3" s="9"/>
      <c r="C3" s="138">
        <v>3897089</v>
      </c>
      <c r="D3" s="119" t="s">
        <v>95</v>
      </c>
    </row>
    <row r="4" spans="1:4" x14ac:dyDescent="0.25">
      <c r="A4" s="37" t="s">
        <v>2</v>
      </c>
      <c r="B4" s="35"/>
      <c r="C4" s="35"/>
      <c r="D4" s="39"/>
    </row>
    <row r="5" spans="1:4" x14ac:dyDescent="0.25">
      <c r="A5" s="143" t="s">
        <v>3</v>
      </c>
      <c r="B5" s="145"/>
      <c r="C5" s="38">
        <v>-1000</v>
      </c>
      <c r="D5" s="39"/>
    </row>
    <row r="6" spans="1:4" x14ac:dyDescent="0.25">
      <c r="A6" s="143" t="s">
        <v>4</v>
      </c>
      <c r="B6" s="144"/>
      <c r="C6" s="38">
        <f>-'Riktade medel och parametrar'!R28</f>
        <v>-185491.44614168664</v>
      </c>
      <c r="D6" s="120"/>
    </row>
    <row r="7" spans="1:4" x14ac:dyDescent="0.25">
      <c r="A7" s="143" t="s">
        <v>5</v>
      </c>
      <c r="B7" s="144"/>
      <c r="C7" s="38">
        <f>-'Riktade medel och parametrar'!AI28</f>
        <v>-18000</v>
      </c>
      <c r="D7" s="121" t="s">
        <v>6</v>
      </c>
    </row>
    <row r="8" spans="1:4" x14ac:dyDescent="0.25">
      <c r="A8" s="143" t="s">
        <v>7</v>
      </c>
      <c r="B8" s="144"/>
      <c r="C8" s="38">
        <f>-'Riktade medel och parametrar'!AJ28</f>
        <v>-892500</v>
      </c>
      <c r="D8" s="121" t="s">
        <v>8</v>
      </c>
    </row>
    <row r="9" spans="1:4" x14ac:dyDescent="0.25">
      <c r="A9" s="143" t="s">
        <v>9</v>
      </c>
      <c r="B9" s="144"/>
      <c r="C9" s="123">
        <f>-'Riktade medel och parametrar'!$AK$21/7*6</f>
        <v>-30000</v>
      </c>
      <c r="D9" s="58"/>
    </row>
    <row r="10" spans="1:4" ht="15.75" customHeight="1" x14ac:dyDescent="0.25">
      <c r="A10" s="143" t="s">
        <v>10</v>
      </c>
      <c r="B10" s="144"/>
      <c r="C10" s="38">
        <f>-'Riktade medel och parametrar'!AK20+492000</f>
        <v>-1000</v>
      </c>
      <c r="D10" s="58"/>
    </row>
    <row r="11" spans="1:4" ht="15.75" customHeight="1" x14ac:dyDescent="0.25">
      <c r="A11" s="143" t="s">
        <v>96</v>
      </c>
      <c r="B11" s="144"/>
      <c r="C11" s="124">
        <f>-'Riktade medel och parametrar'!$AK$20+468000</f>
        <v>-25000</v>
      </c>
      <c r="D11" s="58"/>
    </row>
    <row r="12" spans="1:4" x14ac:dyDescent="0.25">
      <c r="A12" s="141" t="s">
        <v>89</v>
      </c>
      <c r="B12" s="142"/>
      <c r="C12" s="124">
        <f>-'Riktade medel och parametrar'!$AK$20+473000</f>
        <v>-20000</v>
      </c>
      <c r="D12" s="58"/>
    </row>
    <row r="13" spans="1:4" x14ac:dyDescent="0.25">
      <c r="A13" s="141" t="s">
        <v>87</v>
      </c>
      <c r="B13" s="142"/>
      <c r="C13" s="124">
        <f>-'Riktade medel och parametrar'!AK18</f>
        <v>-2000</v>
      </c>
      <c r="D13" s="58"/>
    </row>
    <row r="14" spans="1:4" x14ac:dyDescent="0.25">
      <c r="A14" s="141" t="s">
        <v>88</v>
      </c>
      <c r="B14" s="146"/>
      <c r="C14" s="124">
        <f>-'Riktade medel och parametrar'!$AK$21/7</f>
        <v>-5000</v>
      </c>
      <c r="D14" s="58"/>
    </row>
    <row r="15" spans="1:4" x14ac:dyDescent="0.25">
      <c r="A15" s="141" t="s">
        <v>94</v>
      </c>
      <c r="B15" s="142"/>
      <c r="C15" s="124">
        <f>-'Riktade medel och parametrar'!AK12</f>
        <v>-2600</v>
      </c>
      <c r="D15" s="58"/>
    </row>
    <row r="16" spans="1:4" x14ac:dyDescent="0.25">
      <c r="A16" s="141" t="s">
        <v>93</v>
      </c>
      <c r="B16" s="142"/>
      <c r="C16" s="124">
        <f>-'Riktade medel och parametrar'!AK15</f>
        <v>-400</v>
      </c>
      <c r="D16" s="58"/>
    </row>
    <row r="17" spans="1:4" x14ac:dyDescent="0.25">
      <c r="A17" s="141" t="s">
        <v>90</v>
      </c>
      <c r="B17" s="142"/>
      <c r="C17" s="124">
        <f>-'Riktade medel och parametrar'!AK24</f>
        <v>-400</v>
      </c>
      <c r="D17" s="58"/>
    </row>
    <row r="18" spans="1:4" x14ac:dyDescent="0.25">
      <c r="A18" s="141" t="s">
        <v>92</v>
      </c>
      <c r="B18" s="142"/>
      <c r="C18" s="124">
        <f>-'Riktade medel och parametrar'!AK9</f>
        <v>-400</v>
      </c>
      <c r="D18" s="58"/>
    </row>
    <row r="19" spans="1:4" x14ac:dyDescent="0.25">
      <c r="A19" s="141" t="s">
        <v>91</v>
      </c>
      <c r="B19" s="142"/>
      <c r="C19" s="124">
        <f>-'Riktade medel och parametrar'!$AK$20+492600</f>
        <v>-400</v>
      </c>
      <c r="D19" s="58"/>
    </row>
    <row r="20" spans="1:4" x14ac:dyDescent="0.25">
      <c r="A20" s="141" t="s">
        <v>99</v>
      </c>
      <c r="B20" s="142"/>
      <c r="C20" s="124">
        <f>-'Riktade medel och parametrar'!AK20+46400</f>
        <v>-446600</v>
      </c>
      <c r="D20" s="58"/>
    </row>
    <row r="21" spans="1:4" ht="15.75" thickBot="1" x14ac:dyDescent="0.3">
      <c r="A21" s="40" t="s">
        <v>11</v>
      </c>
      <c r="B21" s="41"/>
      <c r="C21" s="42">
        <f>SUM(C3:C20)</f>
        <v>2266297.5538583132</v>
      </c>
      <c r="D21" s="43"/>
    </row>
    <row r="22" spans="1:4" x14ac:dyDescent="0.25">
      <c r="A22" s="59" t="s">
        <v>12</v>
      </c>
      <c r="B22" s="44"/>
      <c r="C22" s="44"/>
      <c r="D22" s="44"/>
    </row>
    <row r="23" spans="1:4" x14ac:dyDescent="0.25">
      <c r="A23" s="60"/>
      <c r="B23" s="2"/>
      <c r="C23" s="2"/>
      <c r="D23" s="2"/>
    </row>
    <row r="24" spans="1:4" x14ac:dyDescent="0.25">
      <c r="A24" s="35"/>
      <c r="B24" s="2"/>
      <c r="C24" s="38"/>
      <c r="D24" s="45"/>
    </row>
    <row r="25" spans="1:4" ht="23.25" x14ac:dyDescent="0.35">
      <c r="A25" s="34" t="s">
        <v>11</v>
      </c>
      <c r="B25" s="46"/>
      <c r="C25" s="47"/>
    </row>
    <row r="26" spans="1:4" x14ac:dyDescent="0.25">
      <c r="A26" s="8" t="s">
        <v>13</v>
      </c>
      <c r="B26" s="10" t="s">
        <v>14</v>
      </c>
      <c r="C26" s="11" t="s">
        <v>15</v>
      </c>
    </row>
    <row r="27" spans="1:4" x14ac:dyDescent="0.25">
      <c r="A27" s="37" t="s">
        <v>16</v>
      </c>
      <c r="B27" s="48">
        <f>SUM(B28:B32)</f>
        <v>0.99999999999999989</v>
      </c>
      <c r="C27" s="49">
        <f>SUM(C28:C32)</f>
        <v>2266297.5538583132</v>
      </c>
    </row>
    <row r="28" spans="1:4" x14ac:dyDescent="0.25">
      <c r="A28" s="50" t="s">
        <v>17</v>
      </c>
      <c r="B28" s="51">
        <v>0.57499999999999996</v>
      </c>
      <c r="C28" s="52">
        <f>B28*$C$21</f>
        <v>1303121.0934685301</v>
      </c>
    </row>
    <row r="29" spans="1:4" x14ac:dyDescent="0.25">
      <c r="A29" s="50" t="s">
        <v>18</v>
      </c>
      <c r="B29" s="51">
        <v>0.1</v>
      </c>
      <c r="C29" s="52">
        <f>B29*$C$21</f>
        <v>226629.75538583135</v>
      </c>
    </row>
    <row r="30" spans="1:4" x14ac:dyDescent="0.25">
      <c r="A30" s="50" t="s">
        <v>19</v>
      </c>
      <c r="B30" s="53">
        <v>0.08</v>
      </c>
      <c r="C30" s="52">
        <f>B30*$C$21</f>
        <v>181303.80430866507</v>
      </c>
    </row>
    <row r="31" spans="1:4" x14ac:dyDescent="0.25">
      <c r="A31" s="50" t="s">
        <v>20</v>
      </c>
      <c r="B31" s="51">
        <v>0.13</v>
      </c>
      <c r="C31" s="52">
        <f>B31*$C$21</f>
        <v>294618.68200158072</v>
      </c>
    </row>
    <row r="32" spans="1:4" ht="15.75" thickBot="1" x14ac:dyDescent="0.3">
      <c r="A32" s="54" t="s">
        <v>21</v>
      </c>
      <c r="B32" s="55">
        <v>0.115</v>
      </c>
      <c r="C32" s="56">
        <f>B32*$C$21</f>
        <v>260624.21869370603</v>
      </c>
    </row>
    <row r="33" spans="1:3" x14ac:dyDescent="0.25">
      <c r="A33" s="60" t="s">
        <v>12</v>
      </c>
      <c r="B33" s="57"/>
      <c r="C33" s="57"/>
    </row>
  </sheetData>
  <mergeCells count="16">
    <mergeCell ref="A12:B12"/>
    <mergeCell ref="A15:B15"/>
    <mergeCell ref="A11:B11"/>
    <mergeCell ref="A20:B20"/>
    <mergeCell ref="A5:B5"/>
    <mergeCell ref="A6:B6"/>
    <mergeCell ref="A7:B7"/>
    <mergeCell ref="A8:B8"/>
    <mergeCell ref="A9:B9"/>
    <mergeCell ref="A16:B16"/>
    <mergeCell ref="A17:B17"/>
    <mergeCell ref="A18:B18"/>
    <mergeCell ref="A19:B19"/>
    <mergeCell ref="A10:B10"/>
    <mergeCell ref="A14:B14"/>
    <mergeCell ref="A13:B13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  <headerFooter>
    <oddHeader>&amp;LBilaga 3 till regeringsbeslut 2021-04-01 III 2</oddHeader>
    <oddFooter>&amp;RSida &amp;P av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C9809-E339-4E6B-9116-D1ADE0B8E089}">
  <dimension ref="A1:AW56"/>
  <sheetViews>
    <sheetView showGridLines="0" tabSelected="1" zoomScale="96" zoomScaleNormal="96" zoomScaleSheetLayoutView="37" zoomScalePageLayoutView="90" workbookViewId="0">
      <pane xSplit="1" ySplit="1" topLeftCell="B6" activePane="bottomRight" state="frozen"/>
      <selection activeCell="I16" sqref="I16"/>
      <selection pane="topRight" activeCell="I16" sqref="I16"/>
      <selection pane="bottomLeft" activeCell="I16" sqref="I16"/>
      <selection pane="bottomRight" activeCell="I16" sqref="I16"/>
    </sheetView>
  </sheetViews>
  <sheetFormatPr defaultColWidth="9.140625" defaultRowHeight="12.75" x14ac:dyDescent="0.2"/>
  <cols>
    <col min="1" max="1" width="15.7109375" style="33" customWidth="1"/>
    <col min="2" max="2" width="7.140625" style="33" customWidth="1"/>
    <col min="3" max="3" width="6.85546875" style="33" customWidth="1"/>
    <col min="4" max="5" width="9.5703125" style="33" customWidth="1"/>
    <col min="6" max="6" width="9.5703125" style="1" customWidth="1"/>
    <col min="7" max="7" width="11" style="35" customWidth="1"/>
    <col min="8" max="8" width="8.5703125" style="35" customWidth="1"/>
    <col min="9" max="9" width="10.5703125" style="35" customWidth="1"/>
    <col min="10" max="12" width="9.5703125" style="35" customWidth="1"/>
    <col min="13" max="13" width="10.7109375" style="35" customWidth="1"/>
    <col min="14" max="16" width="9.5703125" style="35" customWidth="1"/>
    <col min="17" max="17" width="10.42578125" style="35" customWidth="1"/>
    <col min="18" max="18" width="9.5703125" style="35" customWidth="1"/>
    <col min="19" max="19" width="1.42578125" style="14" customWidth="1"/>
    <col min="20" max="20" width="15.7109375" style="14" bestFit="1" customWidth="1"/>
    <col min="21" max="21" width="9.85546875" style="14" bestFit="1" customWidth="1"/>
    <col min="22" max="22" width="10.42578125" style="14" bestFit="1" customWidth="1"/>
    <col min="23" max="23" width="9.5703125" style="14" customWidth="1"/>
    <col min="24" max="24" width="9.140625" style="14" customWidth="1"/>
    <col min="25" max="25" width="12" style="14" bestFit="1" customWidth="1"/>
    <col min="26" max="26" width="9.7109375" style="14" customWidth="1"/>
    <col min="27" max="27" width="8.5703125" style="14" customWidth="1"/>
    <col min="28" max="28" width="8.7109375" style="14" customWidth="1"/>
    <col min="29" max="29" width="9.28515625" style="14" customWidth="1"/>
    <col min="30" max="30" width="11.140625" style="14" customWidth="1"/>
    <col min="31" max="31" width="11.5703125" style="14" customWidth="1"/>
    <col min="32" max="32" width="2" style="14" customWidth="1"/>
    <col min="33" max="33" width="12.5703125" style="14" customWidth="1"/>
    <col min="34" max="34" width="12.85546875" style="14" customWidth="1"/>
    <col min="35" max="35" width="7.140625" style="14" customWidth="1"/>
    <col min="36" max="36" width="8.5703125" style="14" customWidth="1"/>
    <col min="37" max="37" width="12.28515625" style="14" customWidth="1"/>
    <col min="38" max="38" width="9.5703125" style="14" customWidth="1"/>
    <col min="39" max="39" width="9.7109375" style="14" customWidth="1"/>
    <col min="40" max="40" width="10.28515625" style="14" customWidth="1"/>
    <col min="41" max="41" width="12.140625" style="35" customWidth="1"/>
    <col min="42" max="42" width="11" style="14" customWidth="1"/>
    <col min="43" max="43" width="12.42578125" style="14" customWidth="1"/>
    <col min="44" max="44" width="8.85546875" style="14" customWidth="1"/>
    <col min="45" max="45" width="9.28515625" style="7" customWidth="1"/>
    <col min="46" max="46" width="2.28515625" style="7" customWidth="1"/>
    <col min="47" max="49" width="0" style="14" hidden="1" customWidth="1"/>
    <col min="50" max="16384" width="9.140625" style="14"/>
  </cols>
  <sheetData>
    <row r="1" spans="1:48" ht="23.25" x14ac:dyDescent="0.35">
      <c r="A1" s="34" t="s">
        <v>22</v>
      </c>
      <c r="B1" s="62"/>
      <c r="C1" s="62"/>
      <c r="D1" s="62"/>
      <c r="E1" s="62"/>
      <c r="G1" s="2"/>
      <c r="H1" s="2"/>
      <c r="I1" s="2"/>
      <c r="J1" s="62"/>
      <c r="K1" s="62"/>
      <c r="L1" s="62"/>
      <c r="M1" s="62"/>
      <c r="N1" s="62"/>
      <c r="O1" s="62"/>
      <c r="P1" s="62"/>
      <c r="Q1" s="62"/>
      <c r="R1" s="62"/>
      <c r="S1" s="33"/>
      <c r="T1" s="34" t="s">
        <v>23</v>
      </c>
      <c r="U1" s="63"/>
      <c r="V1" s="33"/>
      <c r="AB1" s="7"/>
      <c r="AC1" s="28"/>
      <c r="AD1" s="28"/>
      <c r="AE1" s="64"/>
      <c r="AF1" s="7"/>
      <c r="AG1" s="34" t="s">
        <v>24</v>
      </c>
      <c r="AH1" s="28"/>
      <c r="AI1" s="7"/>
      <c r="AJ1" s="33"/>
      <c r="AK1" s="33"/>
      <c r="AL1" s="33"/>
      <c r="AM1" s="33"/>
      <c r="AN1" s="33"/>
      <c r="AO1" s="62"/>
      <c r="AS1" s="14"/>
    </row>
    <row r="2" spans="1:48" x14ac:dyDescent="0.2">
      <c r="G2" s="2"/>
      <c r="H2" s="2"/>
      <c r="I2" s="2"/>
      <c r="J2" s="2"/>
      <c r="K2" s="2"/>
      <c r="L2" s="2"/>
      <c r="M2" s="2"/>
      <c r="N2" s="2"/>
      <c r="O2" s="2"/>
      <c r="P2" s="2"/>
      <c r="Q2" s="125"/>
      <c r="R2" s="2"/>
      <c r="S2" s="33"/>
      <c r="T2" s="33"/>
      <c r="U2" s="63"/>
      <c r="V2" s="33"/>
      <c r="AB2" s="7"/>
      <c r="AC2" s="28"/>
      <c r="AD2" s="28"/>
      <c r="AE2" s="64"/>
      <c r="AF2" s="7"/>
      <c r="AG2" s="7"/>
      <c r="AH2" s="28"/>
      <c r="AI2" s="7"/>
      <c r="AJ2" s="33"/>
      <c r="AK2" s="33"/>
      <c r="AL2" s="33"/>
      <c r="AM2" s="33"/>
      <c r="AN2" s="33"/>
      <c r="AO2" s="2"/>
      <c r="AS2" s="14"/>
    </row>
    <row r="3" spans="1:48" ht="15.75" x14ac:dyDescent="0.25">
      <c r="A3" s="147" t="s">
        <v>25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26"/>
      <c r="R3" s="21"/>
      <c r="S3" s="33"/>
      <c r="T3" s="149" t="s">
        <v>26</v>
      </c>
      <c r="U3" s="150"/>
      <c r="V3" s="150"/>
      <c r="W3" s="150"/>
      <c r="X3" s="150"/>
      <c r="Y3" s="151"/>
      <c r="Z3" s="149" t="s">
        <v>27</v>
      </c>
      <c r="AA3" s="150"/>
      <c r="AB3" s="150"/>
      <c r="AC3" s="150"/>
      <c r="AD3" s="150"/>
      <c r="AE3" s="151"/>
      <c r="AG3" s="155" t="s">
        <v>28</v>
      </c>
      <c r="AH3" s="156"/>
      <c r="AI3" s="156"/>
      <c r="AJ3" s="156"/>
      <c r="AK3" s="156"/>
      <c r="AL3" s="156"/>
      <c r="AM3" s="156"/>
      <c r="AN3" s="156"/>
      <c r="AO3" s="156"/>
      <c r="AP3" s="156"/>
      <c r="AQ3" s="127"/>
      <c r="AR3" s="127"/>
      <c r="AS3" s="128"/>
    </row>
    <row r="4" spans="1:48" ht="12.75" customHeight="1" x14ac:dyDescent="0.2">
      <c r="A4" s="61"/>
      <c r="B4" s="22"/>
      <c r="C4" s="22"/>
      <c r="D4" s="23"/>
      <c r="E4" s="23"/>
      <c r="F4" s="24"/>
      <c r="G4" s="21"/>
      <c r="H4" s="21"/>
      <c r="I4" s="25"/>
      <c r="J4" s="25"/>
      <c r="K4" s="25"/>
      <c r="L4" s="25"/>
      <c r="M4" s="25"/>
      <c r="N4" s="21"/>
      <c r="O4" s="21"/>
      <c r="P4" s="21"/>
      <c r="Q4" s="21"/>
      <c r="R4" s="21"/>
      <c r="S4" s="33"/>
      <c r="T4" s="152"/>
      <c r="U4" s="153"/>
      <c r="V4" s="153"/>
      <c r="W4" s="153"/>
      <c r="X4" s="153"/>
      <c r="Y4" s="154"/>
      <c r="Z4" s="152"/>
      <c r="AA4" s="153"/>
      <c r="AB4" s="153"/>
      <c r="AC4" s="153"/>
      <c r="AD4" s="153"/>
      <c r="AE4" s="154"/>
      <c r="AG4" s="157"/>
      <c r="AH4" s="158"/>
      <c r="AI4" s="158"/>
      <c r="AJ4" s="158"/>
      <c r="AK4" s="158"/>
      <c r="AL4" s="158"/>
      <c r="AM4" s="158"/>
      <c r="AN4" s="158"/>
      <c r="AO4" s="158"/>
      <c r="AP4" s="158"/>
      <c r="AQ4" s="129"/>
      <c r="AR4" s="129"/>
      <c r="AS4" s="130"/>
    </row>
    <row r="5" spans="1:48" ht="45.75" customHeight="1" x14ac:dyDescent="0.2">
      <c r="A5" s="65"/>
      <c r="B5" s="66" t="s">
        <v>29</v>
      </c>
      <c r="C5" s="66" t="s">
        <v>30</v>
      </c>
      <c r="D5" s="66" t="s">
        <v>31</v>
      </c>
      <c r="E5" s="66" t="s">
        <v>32</v>
      </c>
      <c r="F5" s="66" t="s">
        <v>33</v>
      </c>
      <c r="G5" s="66" t="s">
        <v>34</v>
      </c>
      <c r="H5" s="66" t="s">
        <v>35</v>
      </c>
      <c r="I5" s="66" t="s">
        <v>36</v>
      </c>
      <c r="J5" s="66" t="s">
        <v>37</v>
      </c>
      <c r="K5" s="66" t="s">
        <v>38</v>
      </c>
      <c r="L5" s="66" t="s">
        <v>39</v>
      </c>
      <c r="M5" s="66" t="s">
        <v>40</v>
      </c>
      <c r="N5" s="66" t="s">
        <v>41</v>
      </c>
      <c r="O5" s="66" t="s">
        <v>42</v>
      </c>
      <c r="P5" s="66" t="s">
        <v>43</v>
      </c>
      <c r="Q5" s="66" t="s">
        <v>97</v>
      </c>
      <c r="R5" s="67" t="s">
        <v>44</v>
      </c>
      <c r="S5" s="33"/>
      <c r="T5" s="68"/>
      <c r="U5" s="66" t="s">
        <v>45</v>
      </c>
      <c r="V5" s="66" t="s">
        <v>46</v>
      </c>
      <c r="W5" s="66" t="s">
        <v>47</v>
      </c>
      <c r="X5" s="66" t="s">
        <v>48</v>
      </c>
      <c r="Y5" s="67" t="s">
        <v>49</v>
      </c>
      <c r="Z5" s="69" t="s">
        <v>45</v>
      </c>
      <c r="AA5" s="66" t="s">
        <v>46</v>
      </c>
      <c r="AB5" s="66" t="s">
        <v>50</v>
      </c>
      <c r="AC5" s="66" t="s">
        <v>51</v>
      </c>
      <c r="AD5" s="66" t="s">
        <v>49</v>
      </c>
      <c r="AE5" s="67" t="s">
        <v>52</v>
      </c>
      <c r="AF5" s="70"/>
      <c r="AG5" s="108"/>
      <c r="AH5" s="109" t="s">
        <v>4</v>
      </c>
      <c r="AI5" s="109" t="s">
        <v>53</v>
      </c>
      <c r="AJ5" s="109" t="s">
        <v>7</v>
      </c>
      <c r="AK5" s="109" t="s">
        <v>54</v>
      </c>
      <c r="AL5" s="109" t="s">
        <v>55</v>
      </c>
      <c r="AM5" s="109" t="s">
        <v>56</v>
      </c>
      <c r="AN5" s="109" t="s">
        <v>57</v>
      </c>
      <c r="AO5" s="132" t="s">
        <v>98</v>
      </c>
      <c r="AP5" s="109" t="s">
        <v>58</v>
      </c>
      <c r="AQ5" s="110" t="s">
        <v>59</v>
      </c>
      <c r="AR5" s="111" t="s">
        <v>60</v>
      </c>
      <c r="AS5" s="133" t="s">
        <v>61</v>
      </c>
      <c r="AT5" s="14"/>
    </row>
    <row r="6" spans="1:48" ht="11.25" x14ac:dyDescent="0.2">
      <c r="A6" s="71" t="s">
        <v>62</v>
      </c>
      <c r="B6" s="72" t="s">
        <v>63</v>
      </c>
      <c r="C6" s="72" t="s">
        <v>63</v>
      </c>
      <c r="D6" s="72" t="s">
        <v>64</v>
      </c>
      <c r="E6" s="72" t="s">
        <v>63</v>
      </c>
      <c r="F6" s="72" t="s">
        <v>63</v>
      </c>
      <c r="G6" s="72" t="s">
        <v>63</v>
      </c>
      <c r="H6" s="72" t="s">
        <v>63</v>
      </c>
      <c r="I6" s="72" t="s">
        <v>64</v>
      </c>
      <c r="J6" s="72" t="s">
        <v>63</v>
      </c>
      <c r="K6" s="72" t="s">
        <v>63</v>
      </c>
      <c r="L6" s="72" t="s">
        <v>63</v>
      </c>
      <c r="M6" s="72" t="s">
        <v>63</v>
      </c>
      <c r="N6" s="72" t="s">
        <v>63</v>
      </c>
      <c r="O6" s="72" t="s">
        <v>63</v>
      </c>
      <c r="P6" s="72" t="s">
        <v>63</v>
      </c>
      <c r="Q6" s="72"/>
      <c r="R6" s="73"/>
      <c r="S6" s="33"/>
      <c r="T6" s="74"/>
      <c r="U6" s="75"/>
      <c r="V6" s="76"/>
      <c r="W6" s="77"/>
      <c r="X6" s="77"/>
      <c r="Y6" s="78"/>
      <c r="Z6" s="79"/>
      <c r="AA6" s="76"/>
      <c r="AB6" s="76"/>
      <c r="AC6" s="76"/>
      <c r="AD6" s="76"/>
      <c r="AE6" s="80"/>
      <c r="AG6" s="112"/>
      <c r="AH6" s="113"/>
      <c r="AI6" s="113"/>
      <c r="AJ6" s="113"/>
      <c r="AK6" s="113"/>
      <c r="AL6" s="113"/>
      <c r="AM6" s="113"/>
      <c r="AN6" s="113"/>
      <c r="AO6" s="131"/>
      <c r="AP6" s="113"/>
      <c r="AQ6" s="114"/>
      <c r="AR6" s="115"/>
      <c r="AS6" s="134"/>
    </row>
    <row r="7" spans="1:48" ht="15" customHeight="1" x14ac:dyDescent="0.2">
      <c r="A7" s="65" t="s">
        <v>65</v>
      </c>
      <c r="B7" s="28"/>
      <c r="C7" s="28"/>
      <c r="D7" s="28"/>
      <c r="E7" s="28"/>
      <c r="F7" s="28"/>
      <c r="G7" s="28">
        <f>6586*1.0165</f>
        <v>6694.6689999999999</v>
      </c>
      <c r="H7" s="28"/>
      <c r="I7" s="28"/>
      <c r="J7" s="28"/>
      <c r="K7" s="28">
        <f>840*1.0276*1.0091*1.0182*1.0155*1.0184*1.0123*1.0203*1.0165</f>
        <v>962.97165833959195</v>
      </c>
      <c r="L7" s="28"/>
      <c r="M7" s="28">
        <f>1700*1.0091*1.0182*1.0155*1.0184*1.0123*1.0203*1.0165</f>
        <v>1896.5270662770702</v>
      </c>
      <c r="N7" s="28">
        <f>2400*1.0123*1.0203*1.0165</f>
        <v>2519.7401037239997</v>
      </c>
      <c r="O7" s="28"/>
      <c r="P7" s="28">
        <f>(3000+1361)*1.0165</f>
        <v>4432.9565000000002</v>
      </c>
      <c r="Q7" s="28">
        <v>5000</v>
      </c>
      <c r="R7" s="81">
        <f>SUM(B7:Q7)</f>
        <v>21506.864328340664</v>
      </c>
      <c r="S7" s="26"/>
      <c r="T7" s="82" t="s">
        <v>65</v>
      </c>
      <c r="U7" s="83">
        <v>0.23016804793451792</v>
      </c>
      <c r="V7" s="3">
        <v>1.5966470902806507E-2</v>
      </c>
      <c r="W7" s="83">
        <v>6.4285714285714279E-2</v>
      </c>
      <c r="X7" s="83">
        <v>6.4787445584994899E-2</v>
      </c>
      <c r="Y7" s="84">
        <v>3.080858636414192E-2</v>
      </c>
      <c r="Z7" s="85">
        <f>SUM(U7*'Översikt fördelning'!$C$28)</f>
        <v>299936.83830594603</v>
      </c>
      <c r="AA7" s="86">
        <f>SUM(V7*'Översikt fördelning'!$C$29)</f>
        <v>3618.4773950780323</v>
      </c>
      <c r="AB7" s="86">
        <f>SUM(W7*'Översikt fördelning'!$C$30)</f>
        <v>11655.244562699896</v>
      </c>
      <c r="AC7" s="86">
        <f>SUM(X7*'Översikt fördelning'!$C$31)</f>
        <v>19087.591828500328</v>
      </c>
      <c r="AD7" s="86">
        <f>SUM(Y7*'Översikt fördelning'!$C$32)</f>
        <v>8029.4637502120531</v>
      </c>
      <c r="AE7" s="87">
        <f t="shared" ref="AE7:AE27" si="0">SUM(Z7:AD7)</f>
        <v>342327.61584243632</v>
      </c>
      <c r="AG7" s="4" t="s">
        <v>65</v>
      </c>
      <c r="AH7" s="5">
        <f t="shared" ref="AH7:AH27" si="1">SUM(R7)</f>
        <v>21506.864328340664</v>
      </c>
      <c r="AI7" s="5"/>
      <c r="AJ7" s="5">
        <v>42500</v>
      </c>
      <c r="AK7" s="5"/>
      <c r="AL7" s="28">
        <f>872*1.0276*1.0091*1.0182*1.0155*1.0184*1.0123*1.0203*1.0165</f>
        <v>999.65629294300516</v>
      </c>
      <c r="AM7" s="28">
        <f>1616*1.006*1.0089*1.0057*1.0276*1.0091*1.0182*1.0155*1.0184*1.0123*1.0203*1.0165</f>
        <v>1890.9939033047638</v>
      </c>
      <c r="AN7" s="28">
        <f>1999*1.0276*1.0091*1.0182*1.0155*1.0184*1.0123*1.0203*1.0165</f>
        <v>2291.6432678819569</v>
      </c>
      <c r="AO7" s="28">
        <v>3511.5764329238641</v>
      </c>
      <c r="AP7" s="5">
        <f t="shared" ref="AP7:AP27" si="2">AE7</f>
        <v>342327.61584243632</v>
      </c>
      <c r="AQ7" s="116">
        <f t="shared" ref="AQ7:AQ27" si="3">SUM(AH7:AP7)</f>
        <v>415028.35006783059</v>
      </c>
      <c r="AR7" s="88">
        <f t="shared" ref="AR7:AR28" si="4">AQ7/$AQ$28</f>
        <v>0.10652435046217647</v>
      </c>
      <c r="AS7" s="135">
        <v>12450</v>
      </c>
      <c r="AU7" s="116">
        <v>415028.35006783059</v>
      </c>
      <c r="AV7" s="7">
        <f>AQ7-AU7</f>
        <v>0</v>
      </c>
    </row>
    <row r="8" spans="1:48" ht="11.25" x14ac:dyDescent="0.2">
      <c r="A8" s="65" t="s">
        <v>66</v>
      </c>
      <c r="B8" s="28"/>
      <c r="C8" s="28"/>
      <c r="D8" s="28"/>
      <c r="E8" s="28">
        <f>806.108818303748*1.0362*1.006*1.0089*1.0057*1.0276*1.0091*1.0182*1.0155*1.0184*1.0123*1.0203*1.0165</f>
        <v>977.43082745916524</v>
      </c>
      <c r="F8" s="28"/>
      <c r="G8" s="28"/>
      <c r="H8" s="28"/>
      <c r="I8" s="28"/>
      <c r="J8" s="28"/>
      <c r="K8" s="28">
        <f>840*1.0276*1.0091*1.0182*1.0155*1.0184*1.0123*1.0203*1.0165</f>
        <v>962.97165833959195</v>
      </c>
      <c r="L8" s="28"/>
      <c r="M8" s="28"/>
      <c r="N8" s="28">
        <f t="shared" ref="N8:N15" si="5">1600*1.0123*1.0203*1.0165</f>
        <v>1679.8267358159999</v>
      </c>
      <c r="O8" s="28"/>
      <c r="P8" s="28"/>
      <c r="Q8" s="28"/>
      <c r="R8" s="81">
        <f t="shared" ref="R8:R27" si="6">SUM(B8:Q8)</f>
        <v>3620.2292216147571</v>
      </c>
      <c r="S8" s="33"/>
      <c r="T8" s="65" t="s">
        <v>66</v>
      </c>
      <c r="U8" s="89">
        <v>3.7154170252127576E-2</v>
      </c>
      <c r="V8" s="6">
        <v>1.9240851278999518E-2</v>
      </c>
      <c r="W8" s="89">
        <v>2.6190476190476191E-2</v>
      </c>
      <c r="X8" s="89">
        <v>2.2636642123931853E-2</v>
      </c>
      <c r="Y8" s="90">
        <v>4.3948710615377279E-2</v>
      </c>
      <c r="Z8" s="91">
        <f>SUM(U8*'Översikt fördelning'!$C$28)</f>
        <v>48416.382965868419</v>
      </c>
      <c r="AA8" s="7">
        <f>SUM(V8*'Översikt fördelning'!$C$29)</f>
        <v>4360.5494187748209</v>
      </c>
      <c r="AB8" s="7">
        <f>SUM(W8*'Översikt fördelning'!$C$30)</f>
        <v>4748.4329699888476</v>
      </c>
      <c r="AC8" s="7">
        <f>SUM(X8*'Översikt fördelning'!$C$31)</f>
        <v>6669.1776674942648</v>
      </c>
      <c r="AD8" s="7">
        <f>SUM(Y8*'Översikt fördelning'!$C$32)</f>
        <v>11454.098366728487</v>
      </c>
      <c r="AE8" s="92">
        <f t="shared" si="0"/>
        <v>75648.641388854841</v>
      </c>
      <c r="AG8" s="4" t="s">
        <v>66</v>
      </c>
      <c r="AH8" s="5">
        <f t="shared" si="1"/>
        <v>3620.2292216147571</v>
      </c>
      <c r="AI8" s="5"/>
      <c r="AJ8" s="5">
        <v>42500</v>
      </c>
      <c r="AK8" s="5"/>
      <c r="AL8" s="28">
        <f>3110*1.0276*1.0091*1.0182*1.0155*1.0184*1.0123*1.0203*1.0165</f>
        <v>3565.2879255192033</v>
      </c>
      <c r="AM8" s="28">
        <f>-389*1.006*1.0089*1.0057*1.0276*1.0091*1.0182*1.0155*1.0184*1.0123*1.0203*1.0165</f>
        <v>-455.19593340690164</v>
      </c>
      <c r="AN8" s="28">
        <f>-450*1.0276*1.0091*1.0182*1.0155*1.0184*1.0123*1.0203*1.0165</f>
        <v>-515.8776741104956</v>
      </c>
      <c r="AO8" s="28">
        <v>-2749.926854361654</v>
      </c>
      <c r="AP8" s="5">
        <f t="shared" si="2"/>
        <v>75648.641388854841</v>
      </c>
      <c r="AQ8" s="116">
        <f t="shared" si="3"/>
        <v>121613.15807410974</v>
      </c>
      <c r="AR8" s="88">
        <f t="shared" si="4"/>
        <v>3.1214163247838989E-2</v>
      </c>
      <c r="AS8" s="135">
        <v>3648</v>
      </c>
      <c r="AU8" s="116">
        <v>121613.15807410974</v>
      </c>
      <c r="AV8" s="7">
        <f t="shared" ref="AV8:AV28" si="7">AQ8-AU8</f>
        <v>0</v>
      </c>
    </row>
    <row r="9" spans="1:48" ht="11.25" x14ac:dyDescent="0.2">
      <c r="A9" s="65" t="s">
        <v>67</v>
      </c>
      <c r="B9" s="28"/>
      <c r="C9" s="28"/>
      <c r="D9" s="28"/>
      <c r="E9" s="28"/>
      <c r="F9" s="28"/>
      <c r="G9" s="28"/>
      <c r="H9" s="28"/>
      <c r="I9" s="28"/>
      <c r="J9" s="28"/>
      <c r="K9" s="28">
        <f>840*1.0276*1.0091*1.0182*1.0155*1.0184*1.0123*1.0203*1.0165</f>
        <v>962.97165833959195</v>
      </c>
      <c r="L9" s="28"/>
      <c r="M9" s="28"/>
      <c r="N9" s="28">
        <f t="shared" si="5"/>
        <v>1679.8267358159999</v>
      </c>
      <c r="O9" s="28"/>
      <c r="P9" s="28"/>
      <c r="Q9" s="28"/>
      <c r="R9" s="81">
        <f t="shared" si="6"/>
        <v>2642.7983941555917</v>
      </c>
      <c r="S9" s="33"/>
      <c r="T9" s="65" t="s">
        <v>67</v>
      </c>
      <c r="U9" s="89">
        <v>2.8810209236637904E-2</v>
      </c>
      <c r="V9" s="6">
        <v>1.5698805996829279E-2</v>
      </c>
      <c r="W9" s="89">
        <v>3.0952380952380953E-2</v>
      </c>
      <c r="X9" s="89">
        <v>2.6586768420486913E-2</v>
      </c>
      <c r="Y9" s="90">
        <v>3.2333921222810112E-2</v>
      </c>
      <c r="Z9" s="91">
        <f>SUM(U9*'Översikt fördelning'!$C$28)</f>
        <v>37543.191363504731</v>
      </c>
      <c r="AA9" s="7">
        <f>SUM(V9*'Översikt fördelning'!$C$29)</f>
        <v>3557.8165629110417</v>
      </c>
      <c r="AB9" s="7">
        <f>SUM(W9*'Översikt fördelning'!$C$30)</f>
        <v>5611.7844190777287</v>
      </c>
      <c r="AC9" s="7">
        <f>SUM(X9*'Översikt fördelning'!$C$31)</f>
        <v>7832.9586707251019</v>
      </c>
      <c r="AD9" s="7">
        <f>SUM(Y9*'Översikt fördelning'!$C$32)</f>
        <v>8427.0029559987252</v>
      </c>
      <c r="AE9" s="92">
        <f t="shared" si="0"/>
        <v>62972.753972217331</v>
      </c>
      <c r="AG9" s="4" t="s">
        <v>67</v>
      </c>
      <c r="AH9" s="5">
        <f t="shared" si="1"/>
        <v>2642.7983941555917</v>
      </c>
      <c r="AI9" s="5"/>
      <c r="AJ9" s="5">
        <v>42500</v>
      </c>
      <c r="AK9" s="5">
        <v>400</v>
      </c>
      <c r="AL9" s="28">
        <f>-1862*1.0276*1.0091*1.0182*1.0155*1.0184*1.0123*1.0203*1.0165</f>
        <v>-2134.5871759860947</v>
      </c>
      <c r="AM9" s="28">
        <f>-275*1.006*1.0089*1.0057*1.0276*1.0091*1.0182*1.0155*1.0184*1.0123*1.0203*1.0165</f>
        <v>-321.79661102030326</v>
      </c>
      <c r="AN9" s="28">
        <f>-815*1.0276*1.0091*1.0182*1.0155*1.0184*1.0123*1.0203*1.0165</f>
        <v>-934.31178755567566</v>
      </c>
      <c r="AO9" s="28">
        <v>-2082.4824575467596</v>
      </c>
      <c r="AP9" s="5">
        <f t="shared" si="2"/>
        <v>62972.753972217331</v>
      </c>
      <c r="AQ9" s="116">
        <f t="shared" si="3"/>
        <v>103042.37433426408</v>
      </c>
      <c r="AR9" s="88">
        <f t="shared" si="4"/>
        <v>2.6447643863952822E-2</v>
      </c>
      <c r="AS9" s="135">
        <v>3091</v>
      </c>
      <c r="AT9" s="32"/>
      <c r="AU9" s="116">
        <v>103042.37433426408</v>
      </c>
      <c r="AV9" s="7">
        <f t="shared" si="7"/>
        <v>0</v>
      </c>
    </row>
    <row r="10" spans="1:48" ht="11.25" x14ac:dyDescent="0.2">
      <c r="A10" s="65" t="s">
        <v>68</v>
      </c>
      <c r="B10" s="28"/>
      <c r="C10" s="28"/>
      <c r="D10" s="28"/>
      <c r="E10" s="28"/>
      <c r="F10" s="28"/>
      <c r="G10" s="28"/>
      <c r="H10" s="28"/>
      <c r="I10" s="28"/>
      <c r="J10" s="28"/>
      <c r="K10" s="28">
        <f>840*1.0276*1.0091*1.0182*1.0155*1.0184*1.0123*1.0203*1.0165</f>
        <v>962.97165833959195</v>
      </c>
      <c r="L10" s="28"/>
      <c r="M10" s="28"/>
      <c r="N10" s="28">
        <f t="shared" si="5"/>
        <v>1679.8267358159999</v>
      </c>
      <c r="O10" s="28"/>
      <c r="P10" s="28"/>
      <c r="Q10" s="28"/>
      <c r="R10" s="81">
        <f t="shared" si="6"/>
        <v>2642.7983941555917</v>
      </c>
      <c r="S10" s="33"/>
      <c r="T10" s="65" t="s">
        <v>68</v>
      </c>
      <c r="U10" s="89">
        <v>4.5072959429349871E-2</v>
      </c>
      <c r="V10" s="6">
        <v>2.7319789897352877E-2</v>
      </c>
      <c r="W10" s="89">
        <v>4.5238095238095237E-2</v>
      </c>
      <c r="X10" s="89">
        <v>5.5210404686408338E-2</v>
      </c>
      <c r="Y10" s="90">
        <v>5.324371991038658E-2</v>
      </c>
      <c r="Z10" s="91">
        <f>SUM(U10*'Översikt fördelning'!$C$28)</f>
        <v>58735.524177437095</v>
      </c>
      <c r="AA10" s="7">
        <f>SUM(V10*'Översikt fördelning'!$C$29)</f>
        <v>6191.4773016293893</v>
      </c>
      <c r="AB10" s="7">
        <f>SUM(W10*'Översikt fördelning'!$C$30)</f>
        <v>8201.8387663443718</v>
      </c>
      <c r="AC10" s="7">
        <f>SUM(X10*'Översikt fördelning'!$C$31)</f>
        <v>16266.01666148352</v>
      </c>
      <c r="AD10" s="7">
        <f>SUM(Y10*'Översikt fördelning'!$C$32)</f>
        <v>13876.602901991022</v>
      </c>
      <c r="AE10" s="92">
        <f t="shared" si="0"/>
        <v>103271.4598088854</v>
      </c>
      <c r="AG10" s="4" t="s">
        <v>68</v>
      </c>
      <c r="AH10" s="5">
        <f t="shared" si="1"/>
        <v>2642.7983941555917</v>
      </c>
      <c r="AI10" s="5"/>
      <c r="AJ10" s="5">
        <v>42500</v>
      </c>
      <c r="AK10" s="5"/>
      <c r="AL10" s="28">
        <f>1143*1.0276*1.0091*1.0182*1.0155*1.0184*1.0123*1.0203*1.0165</f>
        <v>1310.329292240659</v>
      </c>
      <c r="AM10" s="28">
        <f>577*1.006*1.0089*1.0057*1.0276*1.0091*1.0182*1.0155*1.0184*1.0123*1.0203*1.0165</f>
        <v>675.18779839532715</v>
      </c>
      <c r="AN10" s="28">
        <f>1374*1.0276*1.0091*1.0182*1.0155*1.0184*1.0123*1.0203*1.0165</f>
        <v>1575.1464982840473</v>
      </c>
      <c r="AO10" s="28">
        <v>-1269.4808156168438</v>
      </c>
      <c r="AP10" s="5">
        <f t="shared" si="2"/>
        <v>103271.4598088854</v>
      </c>
      <c r="AQ10" s="116">
        <f t="shared" si="3"/>
        <v>150705.44097634417</v>
      </c>
      <c r="AR10" s="88">
        <f t="shared" si="4"/>
        <v>3.8681211075092016E-2</v>
      </c>
      <c r="AS10" s="135">
        <v>4521</v>
      </c>
      <c r="AT10" s="28"/>
      <c r="AU10" s="116">
        <v>150705.44097634417</v>
      </c>
      <c r="AV10" s="7">
        <f t="shared" si="7"/>
        <v>0</v>
      </c>
    </row>
    <row r="11" spans="1:48" x14ac:dyDescent="0.2">
      <c r="A11" s="65" t="s">
        <v>69</v>
      </c>
      <c r="B11" s="28"/>
      <c r="C11" s="28"/>
      <c r="D11" s="28"/>
      <c r="E11" s="28"/>
      <c r="F11" s="28"/>
      <c r="G11" s="28"/>
      <c r="H11" s="28"/>
      <c r="J11" s="28"/>
      <c r="K11" s="28"/>
      <c r="L11" s="28"/>
      <c r="M11" s="28"/>
      <c r="N11" s="28">
        <f t="shared" si="5"/>
        <v>1679.8267358159999</v>
      </c>
      <c r="O11" s="28"/>
      <c r="P11" s="28"/>
      <c r="Q11" s="28"/>
      <c r="R11" s="81">
        <f t="shared" si="6"/>
        <v>1679.8267358159999</v>
      </c>
      <c r="S11" s="33"/>
      <c r="T11" s="65" t="s">
        <v>69</v>
      </c>
      <c r="U11" s="89">
        <v>3.5206571446636768E-2</v>
      </c>
      <c r="V11" s="6">
        <v>2.6133222607913089E-2</v>
      </c>
      <c r="W11" s="89">
        <v>4.2857142857142858E-2</v>
      </c>
      <c r="X11" s="89">
        <v>5.8993927016714139E-2</v>
      </c>
      <c r="Y11" s="90">
        <v>5.311660867216423E-2</v>
      </c>
      <c r="Z11" s="91">
        <f>SUM(U11*'Översikt fördelning'!$C$28)</f>
        <v>45878.425880819232</v>
      </c>
      <c r="AA11" s="7">
        <f>SUM(V11*'Översikt fördelning'!$C$29)</f>
        <v>5922.5658470748212</v>
      </c>
      <c r="AB11" s="7">
        <f>SUM(W11*'Översikt fördelning'!$C$30)</f>
        <v>7770.1630417999313</v>
      </c>
      <c r="AC11" s="7">
        <f>SUM(X11*'Översikt fördelning'!$C$31)</f>
        <v>17380.713023761764</v>
      </c>
      <c r="AD11" s="7">
        <f>SUM(Y11*'Översikt fördelning'!$C$32)</f>
        <v>13843.474634842132</v>
      </c>
      <c r="AE11" s="92">
        <f t="shared" si="0"/>
        <v>90795.342428297881</v>
      </c>
      <c r="AG11" s="4" t="s">
        <v>69</v>
      </c>
      <c r="AH11" s="5">
        <f t="shared" si="1"/>
        <v>1679.8267358159999</v>
      </c>
      <c r="AI11" s="5"/>
      <c r="AJ11" s="5">
        <v>42500</v>
      </c>
      <c r="AK11" s="5"/>
      <c r="AL11" s="28">
        <f>-1143*1.0276*1.0091*1.0182*1.0155*1.0184*1.0123*1.0203*1.0165</f>
        <v>-1310.329292240659</v>
      </c>
      <c r="AM11" s="28">
        <f>-960*1.006*1.0089*1.0057*1.0276*1.0091*1.0182*1.0155*1.0184*1.0123*1.0203*1.0165</f>
        <v>-1123.3627148345131</v>
      </c>
      <c r="AN11" s="28">
        <f>-800*1.0276*1.0091*1.0182*1.0155*1.0184*1.0123*1.0203*1.0165</f>
        <v>-917.11586508532571</v>
      </c>
      <c r="AO11" s="28">
        <v>169.66086480898471</v>
      </c>
      <c r="AP11" s="5">
        <f t="shared" si="2"/>
        <v>90795.342428297881</v>
      </c>
      <c r="AQ11" s="116">
        <f t="shared" si="3"/>
        <v>131794.02215676237</v>
      </c>
      <c r="AR11" s="88">
        <f t="shared" si="4"/>
        <v>3.3827261686466194E-2</v>
      </c>
      <c r="AS11" s="135">
        <v>3951</v>
      </c>
      <c r="AT11" s="89"/>
      <c r="AU11" s="116">
        <v>131794.02215676237</v>
      </c>
      <c r="AV11" s="7">
        <f t="shared" si="7"/>
        <v>0</v>
      </c>
    </row>
    <row r="12" spans="1:48" ht="11.25" x14ac:dyDescent="0.2">
      <c r="A12" s="65" t="s">
        <v>70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>
        <f t="shared" si="5"/>
        <v>1679.8267358159999</v>
      </c>
      <c r="O12" s="28"/>
      <c r="P12" s="28"/>
      <c r="Q12" s="28"/>
      <c r="R12" s="81">
        <f t="shared" si="6"/>
        <v>1679.8267358159999</v>
      </c>
      <c r="S12" s="33"/>
      <c r="T12" s="65" t="s">
        <v>70</v>
      </c>
      <c r="U12" s="89">
        <v>1.9507844473671446E-2</v>
      </c>
      <c r="V12" s="6">
        <v>2.097582319418774E-2</v>
      </c>
      <c r="W12" s="89">
        <v>3.0952380952380953E-2</v>
      </c>
      <c r="X12" s="89">
        <v>2.3754500994249476E-2</v>
      </c>
      <c r="Y12" s="90">
        <v>3.5035035035035036E-2</v>
      </c>
      <c r="Z12" s="91">
        <f>SUM(U12*'Översikt fördelning'!$C$28)</f>
        <v>25421.083621744758</v>
      </c>
      <c r="AA12" s="7">
        <f>SUM(V12*'Översikt fördelning'!$C$29)</f>
        <v>4753.7456795152148</v>
      </c>
      <c r="AB12" s="7">
        <f>SUM(W12*'Översikt fördelning'!$C$30)</f>
        <v>5611.7844190777287</v>
      </c>
      <c r="AC12" s="7">
        <f>SUM(X12*'Översikt fördelning'!$C$31)</f>
        <v>6998.5197745310188</v>
      </c>
      <c r="AD12" s="7">
        <f>SUM(Y12*'Översikt fördelning'!$C$32)</f>
        <v>9130.9786329126237</v>
      </c>
      <c r="AE12" s="92">
        <f t="shared" si="0"/>
        <v>51916.112127781344</v>
      </c>
      <c r="AG12" s="4" t="s">
        <v>70</v>
      </c>
      <c r="AH12" s="5">
        <f t="shared" si="1"/>
        <v>1679.8267358159999</v>
      </c>
      <c r="AI12" s="5"/>
      <c r="AJ12" s="5">
        <v>42500</v>
      </c>
      <c r="AK12" s="5">
        <v>2600</v>
      </c>
      <c r="AL12" s="28">
        <f>-1272*1.0276*1.0091*1.0182*1.0155*1.0184*1.0123*1.0203*1.0165</f>
        <v>-1458.2142254856681</v>
      </c>
      <c r="AM12" s="28">
        <f>-98*1.006*1.0089*1.0057*1.0276*1.0091*1.0182*1.0155*1.0184*1.0123*1.0203*1.0165</f>
        <v>-114.67661047268989</v>
      </c>
      <c r="AN12" s="28">
        <f>-551*1.0276*1.0091*1.0182*1.0155*1.0184*1.0123*1.0203*1.0165</f>
        <v>-631.66355207751815</v>
      </c>
      <c r="AO12" s="28">
        <v>-1123.7526037932548</v>
      </c>
      <c r="AP12" s="5">
        <f t="shared" si="2"/>
        <v>51916.112127781344</v>
      </c>
      <c r="AQ12" s="116">
        <f t="shared" si="3"/>
        <v>95367.631871768215</v>
      </c>
      <c r="AR12" s="88">
        <f t="shared" si="4"/>
        <v>2.4477785767154762E-2</v>
      </c>
      <c r="AS12" s="135">
        <v>2861</v>
      </c>
      <c r="AT12" s="89"/>
      <c r="AU12" s="116">
        <v>95367.631871768215</v>
      </c>
      <c r="AV12" s="7">
        <f t="shared" si="7"/>
        <v>0</v>
      </c>
    </row>
    <row r="13" spans="1:48" ht="11.25" x14ac:dyDescent="0.2">
      <c r="A13" s="65" t="s">
        <v>71</v>
      </c>
      <c r="B13" s="28"/>
      <c r="C13" s="28"/>
      <c r="D13" s="28"/>
      <c r="E13" s="28"/>
      <c r="F13" s="28"/>
      <c r="G13" s="28"/>
      <c r="H13" s="28"/>
      <c r="I13" s="28"/>
      <c r="J13" s="28"/>
      <c r="K13" s="28">
        <f>1680*1.0276*1.0091*1.0182*1.0155*1.0184*1.0123*1.0203*1.0165</f>
        <v>1925.9433166791839</v>
      </c>
      <c r="L13" s="28"/>
      <c r="M13" s="28"/>
      <c r="N13" s="28">
        <f t="shared" si="5"/>
        <v>1679.8267358159999</v>
      </c>
      <c r="O13" s="28"/>
      <c r="P13" s="28"/>
      <c r="Q13" s="28"/>
      <c r="R13" s="81">
        <f t="shared" si="6"/>
        <v>3605.7700524951838</v>
      </c>
      <c r="S13" s="33"/>
      <c r="T13" s="65" t="s">
        <v>71</v>
      </c>
      <c r="U13" s="89">
        <v>2.3766050333722616E-2</v>
      </c>
      <c r="V13" s="6">
        <v>2.5999390154924473E-2</v>
      </c>
      <c r="W13" s="89">
        <v>4.5238095238095237E-2</v>
      </c>
      <c r="X13" s="89">
        <v>3.9291664427366042E-2</v>
      </c>
      <c r="Y13" s="90">
        <v>4.7539603095158652E-2</v>
      </c>
      <c r="Z13" s="91">
        <f>SUM(U13*'Översikt fördelning'!$C$28)</f>
        <v>30970.041498308739</v>
      </c>
      <c r="AA13" s="7">
        <f>SUM(V13*'Översikt fördelning'!$C$29)</f>
        <v>5892.2354309913253</v>
      </c>
      <c r="AB13" s="7">
        <f>SUM(W13*'Översikt fördelning'!$C$30)</f>
        <v>8201.8387663443718</v>
      </c>
      <c r="AC13" s="7">
        <f>SUM(X13*'Översikt fördelning'!$C$31)</f>
        <v>11576.058387238978</v>
      </c>
      <c r="AD13" s="7">
        <f>SUM(Y13*'Översikt fördelning'!$C$32)</f>
        <v>12389.971913684612</v>
      </c>
      <c r="AE13" s="92">
        <f t="shared" si="0"/>
        <v>69030.145996568026</v>
      </c>
      <c r="AG13" s="4" t="s">
        <v>71</v>
      </c>
      <c r="AH13" s="5">
        <f t="shared" si="1"/>
        <v>3605.7700524951838</v>
      </c>
      <c r="AI13" s="5"/>
      <c r="AJ13" s="5">
        <v>42500</v>
      </c>
      <c r="AK13" s="5"/>
      <c r="AL13" s="28">
        <f>1272*1.0276*1.0091*1.0182*1.0155*1.0184*1.0123*1.0203*1.0165</f>
        <v>1458.2142254856681</v>
      </c>
      <c r="AM13" s="28">
        <f>-257*1.006*1.0089*1.0057*1.0276*1.0091*1.0182*1.0155*1.0184*1.0123*1.0203*1.0165</f>
        <v>-300.73356011715617</v>
      </c>
      <c r="AN13" s="28">
        <f>-574*1.0276*1.0091*1.0182*1.0155*1.0184*1.0123*1.0203*1.0165</f>
        <v>-658.03063319872138</v>
      </c>
      <c r="AO13" s="28">
        <v>609.13599984475877</v>
      </c>
      <c r="AP13" s="5">
        <f t="shared" si="2"/>
        <v>69030.145996568026</v>
      </c>
      <c r="AQ13" s="116">
        <f t="shared" si="3"/>
        <v>116244.50208107775</v>
      </c>
      <c r="AR13" s="88">
        <f t="shared" si="4"/>
        <v>2.9836202941225871E-2</v>
      </c>
      <c r="AS13" s="135">
        <v>3487</v>
      </c>
      <c r="AT13" s="89"/>
      <c r="AU13" s="116">
        <v>116244.50208107775</v>
      </c>
      <c r="AV13" s="7">
        <f t="shared" si="7"/>
        <v>0</v>
      </c>
    </row>
    <row r="14" spans="1:48" ht="11.25" x14ac:dyDescent="0.2">
      <c r="A14" s="65" t="s">
        <v>72</v>
      </c>
      <c r="B14" s="28"/>
      <c r="C14" s="28"/>
      <c r="D14" s="28"/>
      <c r="E14" s="28"/>
      <c r="F14" s="28"/>
      <c r="G14" s="28"/>
      <c r="H14" s="28"/>
      <c r="I14" s="28"/>
      <c r="J14" s="28"/>
      <c r="K14" s="28">
        <f>840*1.0276*1.0091*1.0182*1.0155*1.0184*1.0123*1.0203*1.0165</f>
        <v>962.97165833959195</v>
      </c>
      <c r="L14" s="28"/>
      <c r="M14" s="28"/>
      <c r="N14" s="28">
        <f t="shared" si="5"/>
        <v>1679.8267358159999</v>
      </c>
      <c r="O14" s="28"/>
      <c r="P14" s="28"/>
      <c r="Q14" s="28"/>
      <c r="R14" s="81">
        <f t="shared" si="6"/>
        <v>2642.7983941555917</v>
      </c>
      <c r="S14" s="33"/>
      <c r="T14" s="65" t="s">
        <v>72</v>
      </c>
      <c r="U14" s="89">
        <v>5.7792772349867915E-3</v>
      </c>
      <c r="V14" s="6">
        <v>7.0736530634143441E-3</v>
      </c>
      <c r="W14" s="89">
        <v>4.7619047619047623E-3</v>
      </c>
      <c r="X14" s="89">
        <v>8.9966141774600952E-3</v>
      </c>
      <c r="Y14" s="90">
        <v>2.2482800260578039E-2</v>
      </c>
      <c r="Z14" s="91">
        <f>SUM(U14*'Översikt fördelning'!$C$28)</f>
        <v>7531.0980699137708</v>
      </c>
      <c r="AA14" s="7">
        <f>SUM(V14*'Översikt fördelning'!$C$29)</f>
        <v>1603.1002634458293</v>
      </c>
      <c r="AB14" s="7">
        <f>SUM(W14*'Översikt fördelning'!$C$30)</f>
        <v>863.3514490888814</v>
      </c>
      <c r="AC14" s="7">
        <f>SUM(X14*'Översikt fördelning'!$C$31)</f>
        <v>2650.5706114400286</v>
      </c>
      <c r="AD14" s="7">
        <f>SUM(Y14*'Översikt fördelning'!$C$32)</f>
        <v>5859.5622519598019</v>
      </c>
      <c r="AE14" s="92">
        <f t="shared" si="0"/>
        <v>18507.682645848312</v>
      </c>
      <c r="AG14" s="4" t="s">
        <v>72</v>
      </c>
      <c r="AH14" s="5">
        <f t="shared" si="1"/>
        <v>2642.7983941555917</v>
      </c>
      <c r="AI14" s="5"/>
      <c r="AJ14" s="5">
        <v>42500</v>
      </c>
      <c r="AK14" s="5"/>
      <c r="AL14" s="28">
        <f>-872*1.0276*1.0091*1.0182*1.0155*1.0184*1.0123*1.0203*1.0165</f>
        <v>-999.65629294300516</v>
      </c>
      <c r="AM14" s="28">
        <f>-128*1.006*1.0089*1.0057*1.0276*1.0091*1.0182*1.0155*1.0184*1.0123*1.0203*1.0165</f>
        <v>-149.78169531126838</v>
      </c>
      <c r="AN14" s="28">
        <f>-352*1.0276*1.0091*1.0182*1.0155*1.0184*1.0123*1.0203*1.0165</f>
        <v>-403.53098063754328</v>
      </c>
      <c r="AO14" s="28">
        <v>553.5782904217582</v>
      </c>
      <c r="AP14" s="5">
        <f t="shared" si="2"/>
        <v>18507.682645848312</v>
      </c>
      <c r="AQ14" s="116">
        <f t="shared" si="3"/>
        <v>62651.090361533839</v>
      </c>
      <c r="AR14" s="88">
        <f t="shared" si="4"/>
        <v>1.6080508007269304E-2</v>
      </c>
      <c r="AS14" s="135">
        <v>1879</v>
      </c>
      <c r="AT14" s="89"/>
      <c r="AU14" s="116">
        <v>62651.090361533839</v>
      </c>
      <c r="AV14" s="7">
        <f t="shared" si="7"/>
        <v>0</v>
      </c>
    </row>
    <row r="15" spans="1:48" ht="11.25" x14ac:dyDescent="0.2">
      <c r="A15" s="65" t="s">
        <v>73</v>
      </c>
      <c r="B15" s="28"/>
      <c r="C15" s="28"/>
      <c r="D15" s="28"/>
      <c r="E15" s="28"/>
      <c r="F15" s="28"/>
      <c r="G15" s="28"/>
      <c r="H15" s="28"/>
      <c r="I15" s="28"/>
      <c r="J15" s="28">
        <f>-4648*1.006*1.0089*1.0057*1.0276*1.0091*1.0182*1.0155*1.0184*1.0123*1.0203*1.0165</f>
        <v>-5438.947810990433</v>
      </c>
      <c r="K15" s="28">
        <f>840*1.0276*1.0091*1.0182*1.0155*1.0184*1.0123*1.0203*1.0165</f>
        <v>962.97165833959195</v>
      </c>
      <c r="L15" s="28"/>
      <c r="M15" s="28"/>
      <c r="N15" s="28">
        <f t="shared" si="5"/>
        <v>1679.8267358159999</v>
      </c>
      <c r="O15" s="28"/>
      <c r="P15" s="28"/>
      <c r="Q15" s="28"/>
      <c r="R15" s="81">
        <f t="shared" si="6"/>
        <v>-2796.1494168348408</v>
      </c>
      <c r="S15" s="33"/>
      <c r="T15" s="65" t="s">
        <v>73</v>
      </c>
      <c r="U15" s="89">
        <v>1.545433304907854E-2</v>
      </c>
      <c r="V15" s="6">
        <v>6.7942990504042122E-3</v>
      </c>
      <c r="W15" s="89">
        <v>1.6666666666666666E-2</v>
      </c>
      <c r="X15" s="89">
        <v>2.1663889933895845E-2</v>
      </c>
      <c r="Y15" s="90">
        <v>2.0909798687576465E-2</v>
      </c>
      <c r="Z15" s="91">
        <f>SUM(U15*'Översikt fördelning'!$C$28)</f>
        <v>20138.867381742071</v>
      </c>
      <c r="AA15" s="7">
        <f>SUM(V15*'Översikt fördelning'!$C$29)</f>
        <v>1539.7903318112928</v>
      </c>
      <c r="AB15" s="7">
        <f>SUM(W15*'Översikt fördelning'!$C$30)</f>
        <v>3021.7300718110846</v>
      </c>
      <c r="AC15" s="7">
        <f>SUM(X15*'Översikt fördelning'!$C$31)</f>
        <v>6382.5866993517056</v>
      </c>
      <c r="AD15" s="7">
        <f>SUM(Y15*'Översikt fördelning'!$C$32)</f>
        <v>5449.5999459922959</v>
      </c>
      <c r="AE15" s="92">
        <f t="shared" si="0"/>
        <v>36532.574430708446</v>
      </c>
      <c r="AG15" s="4" t="s">
        <v>73</v>
      </c>
      <c r="AH15" s="5">
        <f t="shared" si="1"/>
        <v>-2796.1494168348408</v>
      </c>
      <c r="AI15" s="5"/>
      <c r="AJ15" s="5">
        <v>42500</v>
      </c>
      <c r="AK15" s="5">
        <v>400</v>
      </c>
      <c r="AL15" s="28">
        <f>-1610*1.0276*1.0091*1.0182*1.0155*1.0184*1.0123*1.0203*1.0165</f>
        <v>-1845.695678484218</v>
      </c>
      <c r="AM15" s="28">
        <f>-76*1.006*1.0089*1.0057*1.0276*1.0091*1.0182*1.0155*1.0184*1.0123*1.0203*1.0165</f>
        <v>-88.932881591065637</v>
      </c>
      <c r="AN15" s="28">
        <f>-363*1.0276*1.0091*1.0182*1.0155*1.0184*1.0123*1.0203*1.0165</f>
        <v>-416.14132378246643</v>
      </c>
      <c r="AO15" s="28">
        <v>559.06092442544957</v>
      </c>
      <c r="AP15" s="5">
        <f t="shared" si="2"/>
        <v>36532.574430708446</v>
      </c>
      <c r="AQ15" s="116">
        <f t="shared" si="3"/>
        <v>74844.716054441305</v>
      </c>
      <c r="AR15" s="88">
        <f t="shared" si="4"/>
        <v>1.9210217234370497E-2</v>
      </c>
      <c r="AS15" s="135">
        <v>2245</v>
      </c>
      <c r="AT15" s="89"/>
      <c r="AU15" s="116">
        <v>74844.716054441305</v>
      </c>
      <c r="AV15" s="7">
        <f t="shared" si="7"/>
        <v>0</v>
      </c>
    </row>
    <row r="16" spans="1:48" ht="11.25" x14ac:dyDescent="0.2">
      <c r="A16" s="65" t="s">
        <v>74</v>
      </c>
      <c r="B16" s="28"/>
      <c r="C16" s="28"/>
      <c r="D16" s="28"/>
      <c r="E16" s="28"/>
      <c r="F16" s="28"/>
      <c r="G16" s="28">
        <f>6586*1.0165</f>
        <v>6694.6689999999999</v>
      </c>
      <c r="H16" s="28"/>
      <c r="I16" s="28"/>
      <c r="J16" s="28">
        <f>4648*1.006*1.0089*1.0057*1.0276*1.0091*1.0182*1.0155*1.0184*1.0123*1.0203*1.0165</f>
        <v>5438.947810990433</v>
      </c>
      <c r="K16" s="28">
        <f>840*1.0276*1.0091*1.0182*1.0155*1.0184*1.0123*1.0203*1.0165</f>
        <v>962.97165833959195</v>
      </c>
      <c r="L16" s="28"/>
      <c r="M16" s="28"/>
      <c r="N16" s="28">
        <f>2400*1.0123*1.0203*1.0165</f>
        <v>2519.7401037239997</v>
      </c>
      <c r="O16" s="28"/>
      <c r="P16" s="28">
        <f>(3000+1361)*1.0165</f>
        <v>4432.9565000000002</v>
      </c>
      <c r="Q16" s="28">
        <v>3000</v>
      </c>
      <c r="R16" s="81">
        <f t="shared" si="6"/>
        <v>23049.285073054023</v>
      </c>
      <c r="S16" s="33"/>
      <c r="T16" s="65" t="s">
        <v>74</v>
      </c>
      <c r="U16" s="89">
        <v>0.13341226108049031</v>
      </c>
      <c r="V16" s="6">
        <v>2.5261814206180785E-2</v>
      </c>
      <c r="W16" s="89">
        <v>0.1</v>
      </c>
      <c r="X16" s="89">
        <v>0.12282474337614877</v>
      </c>
      <c r="Y16" s="90">
        <v>0.13022546355879688</v>
      </c>
      <c r="Z16" s="91">
        <f>SUM(U16*'Översikt fördelning'!$C$28)</f>
        <v>173852.33154131754</v>
      </c>
      <c r="AA16" s="7">
        <f>SUM(V16*'Översikt fördelning'!$C$29)</f>
        <v>5725.0787741490703</v>
      </c>
      <c r="AB16" s="7">
        <f>SUM(W16*'Översikt fördelning'!$C$30)</f>
        <v>18130.380430866509</v>
      </c>
      <c r="AC16" s="7">
        <f>SUM(X16*'Översikt fördelning'!$C$31)</f>
        <v>36186.464010663331</v>
      </c>
      <c r="AD16" s="7">
        <f>SUM(Y16*'Översikt fördelning'!$C$32)</f>
        <v>33939.909694037124</v>
      </c>
      <c r="AE16" s="92">
        <f t="shared" si="0"/>
        <v>267834.16445103358</v>
      </c>
      <c r="AG16" s="4" t="s">
        <v>74</v>
      </c>
      <c r="AH16" s="5">
        <f t="shared" si="1"/>
        <v>23049.285073054023</v>
      </c>
      <c r="AI16" s="5">
        <f>3000</f>
        <v>3000</v>
      </c>
      <c r="AJ16" s="5">
        <v>42500</v>
      </c>
      <c r="AK16" s="5"/>
      <c r="AL16" s="28">
        <f>1610*1.0276*1.0091*1.0182*1.0155*1.0184*1.0123*1.0203*1.0165</f>
        <v>1845.695678484218</v>
      </c>
      <c r="AM16" s="28">
        <f>339*1.006*1.0089*1.0057*1.0276*1.0091*1.0182*1.0155*1.0184*1.0123*1.0203*1.0165</f>
        <v>396.68745867593748</v>
      </c>
      <c r="AN16" s="28">
        <f>914*1.0276*1.0091*1.0182*1.0155*1.0184*1.0123*1.0203*1.0165</f>
        <v>1047.8048758599846</v>
      </c>
      <c r="AO16" s="28">
        <v>-305.71321157074999</v>
      </c>
      <c r="AP16" s="5">
        <f t="shared" si="2"/>
        <v>267834.16445103358</v>
      </c>
      <c r="AQ16" s="116">
        <f t="shared" si="3"/>
        <v>339367.92432553699</v>
      </c>
      <c r="AR16" s="88">
        <f t="shared" si="4"/>
        <v>8.7104766940780107E-2</v>
      </c>
      <c r="AS16" s="135">
        <v>10181</v>
      </c>
      <c r="AT16" s="89"/>
      <c r="AU16" s="116">
        <v>339367.92432553699</v>
      </c>
      <c r="AV16" s="7">
        <f t="shared" si="7"/>
        <v>0</v>
      </c>
    </row>
    <row r="17" spans="1:49" ht="11.25" x14ac:dyDescent="0.2">
      <c r="A17" s="65" t="s">
        <v>75</v>
      </c>
      <c r="B17" s="28"/>
      <c r="C17" s="28"/>
      <c r="D17" s="28"/>
      <c r="E17" s="28"/>
      <c r="F17" s="28"/>
      <c r="G17" s="28"/>
      <c r="H17" s="28"/>
      <c r="I17" s="28"/>
      <c r="J17" s="28"/>
      <c r="K17" s="28">
        <f>840*1.0276*1.0091*1.0182*1.0155*1.0184*1.0123*1.0203*1.0165</f>
        <v>962.97165833959195</v>
      </c>
      <c r="L17" s="28"/>
      <c r="M17" s="28"/>
      <c r="N17" s="28">
        <f>1600*1.0123*1.0203*1.0165</f>
        <v>1679.8267358159999</v>
      </c>
      <c r="O17" s="28"/>
      <c r="P17" s="28"/>
      <c r="Q17" s="28"/>
      <c r="R17" s="81">
        <f t="shared" si="6"/>
        <v>2642.7983941555917</v>
      </c>
      <c r="S17" s="33"/>
      <c r="T17" s="65" t="s">
        <v>75</v>
      </c>
      <c r="U17" s="89">
        <v>3.2325841007034652E-2</v>
      </c>
      <c r="V17" s="6">
        <v>1.2711401020832293E-2</v>
      </c>
      <c r="W17" s="89">
        <v>1.9047619047619049E-2</v>
      </c>
      <c r="X17" s="89">
        <v>3.1950341269414734E-2</v>
      </c>
      <c r="Y17" s="90">
        <v>4.9573382906716243E-2</v>
      </c>
      <c r="Z17" s="91">
        <f>SUM(U17*'Översikt fördelning'!$C$28)</f>
        <v>42124.485280376844</v>
      </c>
      <c r="AA17" s="7">
        <f>SUM(V17*'Översikt fördelning'!$C$29)</f>
        <v>2880.7817039624297</v>
      </c>
      <c r="AB17" s="7">
        <f>SUM(W17*'Översikt fördelning'!$C$30)</f>
        <v>3453.4057963555256</v>
      </c>
      <c r="AC17" s="7">
        <f>SUM(X17*'Översikt fördelning'!$C$31)</f>
        <v>9413.1674342956794</v>
      </c>
      <c r="AD17" s="7">
        <f>SUM(Y17*'Översikt fördelning'!$C$32)</f>
        <v>12920.024188066842</v>
      </c>
      <c r="AE17" s="92">
        <f t="shared" si="0"/>
        <v>70791.86440305732</v>
      </c>
      <c r="AG17" s="4" t="s">
        <v>75</v>
      </c>
      <c r="AH17" s="5">
        <f t="shared" si="1"/>
        <v>2642.7983941555917</v>
      </c>
      <c r="AI17" s="5"/>
      <c r="AJ17" s="5">
        <v>42500</v>
      </c>
      <c r="AK17" s="5"/>
      <c r="AL17" s="28"/>
      <c r="AM17" s="28">
        <f>-203*1.006*1.0089*1.0057*1.0276*1.0091*1.0182*1.0155*1.0184*1.0123*1.0203*1.0165</f>
        <v>-237.54440740771474</v>
      </c>
      <c r="AN17" s="28">
        <f>-645*1.0276*1.0091*1.0182*1.0155*1.0184*1.0123*1.0203*1.0165</f>
        <v>-739.42466622504378</v>
      </c>
      <c r="AO17" s="28">
        <v>-947.33710808066337</v>
      </c>
      <c r="AP17" s="5">
        <f t="shared" si="2"/>
        <v>70791.86440305732</v>
      </c>
      <c r="AQ17" s="116">
        <f t="shared" si="3"/>
        <v>114010.35661549949</v>
      </c>
      <c r="AR17" s="88">
        <f t="shared" si="4"/>
        <v>2.9262770079302475E-2</v>
      </c>
      <c r="AS17" s="135">
        <v>3420</v>
      </c>
      <c r="AT17" s="89"/>
      <c r="AU17" s="116">
        <v>114010.35661549949</v>
      </c>
      <c r="AV17" s="7">
        <f t="shared" si="7"/>
        <v>0</v>
      </c>
    </row>
    <row r="18" spans="1:49" ht="11.25" x14ac:dyDescent="0.2">
      <c r="A18" s="65" t="s">
        <v>76</v>
      </c>
      <c r="B18" s="28"/>
      <c r="C18" s="28">
        <f>952*1.0203*1.0165</f>
        <v>987.35247240000001</v>
      </c>
      <c r="D18" s="28">
        <v>3000</v>
      </c>
      <c r="E18" s="28">
        <f>806.108818303748*1.0362*1.006*1.0089*1.0057*1.0276*1.0091*1.0182*1.0155*1.0184*1.0123*1.0203*1.0165</f>
        <v>977.43082745916524</v>
      </c>
      <c r="F18" s="28"/>
      <c r="G18" s="28">
        <f>6586*1.0165</f>
        <v>6694.6689999999999</v>
      </c>
      <c r="H18" s="28"/>
      <c r="I18" s="28"/>
      <c r="J18" s="28"/>
      <c r="K18" s="28">
        <f>(1680+720)*1.0276*1.0091*1.0182*1.0155*1.0184*1.0123*1.0203*1.0165</f>
        <v>2751.3475952559775</v>
      </c>
      <c r="L18" s="28">
        <f>2244*1.0203*1.0165</f>
        <v>2327.3308278</v>
      </c>
      <c r="M18" s="28"/>
      <c r="N18" s="28">
        <f>2400*1.0123*1.0203*1.0165</f>
        <v>2519.7401037239997</v>
      </c>
      <c r="O18" s="28"/>
      <c r="P18" s="28">
        <f>(3000+1361)*1.0165</f>
        <v>4432.9565000000002</v>
      </c>
      <c r="Q18" s="28">
        <v>4000</v>
      </c>
      <c r="R18" s="81">
        <f t="shared" si="6"/>
        <v>27690.827326639141</v>
      </c>
      <c r="S18" s="33"/>
      <c r="T18" s="65" t="s">
        <v>76</v>
      </c>
      <c r="U18" s="89">
        <v>0.16711364094756287</v>
      </c>
      <c r="V18" s="6">
        <v>6.4318763870896745E-2</v>
      </c>
      <c r="W18" s="89">
        <v>0.1761904761904762</v>
      </c>
      <c r="X18" s="89">
        <v>0.14153813081098512</v>
      </c>
      <c r="Y18" s="90">
        <v>0.19441663886108332</v>
      </c>
      <c r="Z18" s="91">
        <f>SUM(U18*'Översikt fördelning'!$C$28)</f>
        <v>217769.31052509544</v>
      </c>
      <c r="AA18" s="7">
        <f>SUM(V18*'Översikt fördelning'!$C$29)</f>
        <v>14576.545722780376</v>
      </c>
      <c r="AB18" s="7">
        <f>SUM(W18*'Översikt fördelning'!$C$30)</f>
        <v>31944.00361628861</v>
      </c>
      <c r="AC18" s="7">
        <f>SUM(X18*'Översikt fördelning'!$C$31)</f>
        <v>41699.777552499763</v>
      </c>
      <c r="AD18" s="7">
        <f>SUM(Y18*'Översikt fördelning'!$C$32)</f>
        <v>50669.684604226248</v>
      </c>
      <c r="AE18" s="92">
        <f t="shared" si="0"/>
        <v>356659.32202089048</v>
      </c>
      <c r="AG18" s="4" t="s">
        <v>76</v>
      </c>
      <c r="AH18" s="5">
        <f t="shared" si="1"/>
        <v>27690.827326639141</v>
      </c>
      <c r="AI18" s="5">
        <f>15000</f>
        <v>15000</v>
      </c>
      <c r="AJ18" s="5">
        <v>42500</v>
      </c>
      <c r="AK18" s="28">
        <v>2000</v>
      </c>
      <c r="AL18" s="28"/>
      <c r="AM18" s="28">
        <f>303*1.006*1.0089*1.0057*1.0276*1.0091*1.0182*1.0155*1.0184*1.0123*1.0203*1.0165</f>
        <v>354.56135686964313</v>
      </c>
      <c r="AN18" s="28">
        <f>645*1.0276*1.0091*1.0182*1.0155*1.0184*1.0123*1.0203*1.0165</f>
        <v>739.42466622504378</v>
      </c>
      <c r="AO18" s="28">
        <v>-1093.5581640324478</v>
      </c>
      <c r="AP18" s="5">
        <f t="shared" si="2"/>
        <v>356659.32202089048</v>
      </c>
      <c r="AQ18" s="116">
        <f t="shared" si="3"/>
        <v>443850.57720659184</v>
      </c>
      <c r="AR18" s="88">
        <f t="shared" si="4"/>
        <v>0.11392208371179198</v>
      </c>
      <c r="AS18" s="135">
        <v>13328</v>
      </c>
      <c r="AT18" s="89"/>
      <c r="AU18" s="116">
        <v>443850.57720659184</v>
      </c>
      <c r="AV18" s="7">
        <f t="shared" si="7"/>
        <v>0</v>
      </c>
    </row>
    <row r="19" spans="1:49" ht="11.25" x14ac:dyDescent="0.2">
      <c r="A19" s="65" t="s">
        <v>77</v>
      </c>
      <c r="B19" s="28"/>
      <c r="C19" s="28"/>
      <c r="D19" s="28"/>
      <c r="E19" s="28">
        <f>1083.20872459566*1.0362*1.006*1.0089*1.0057*1.0276*1.0091*1.0182*1.0155*1.0184*1.0123*1.0203*1.0165</f>
        <v>1313.422674398252</v>
      </c>
      <c r="F19" s="28"/>
      <c r="G19" s="28"/>
      <c r="H19" s="28"/>
      <c r="I19" s="28">
        <v>5700</v>
      </c>
      <c r="J19" s="28"/>
      <c r="K19" s="28"/>
      <c r="L19" s="28"/>
      <c r="M19" s="28"/>
      <c r="N19" s="28">
        <f t="shared" ref="N19:N27" si="8">1600*1.0123*1.0203*1.0165</f>
        <v>1679.8267358159999</v>
      </c>
      <c r="O19" s="28"/>
      <c r="P19" s="28"/>
      <c r="Q19" s="28"/>
      <c r="R19" s="81">
        <f t="shared" si="6"/>
        <v>8693.2494102142518</v>
      </c>
      <c r="S19" s="33"/>
      <c r="T19" s="65" t="s">
        <v>77</v>
      </c>
      <c r="U19" s="89">
        <v>2.7345588597687223E-2</v>
      </c>
      <c r="V19" s="6">
        <v>4.8698764358576119E-2</v>
      </c>
      <c r="W19" s="89">
        <v>5.4761904761904762E-2</v>
      </c>
      <c r="X19" s="89">
        <v>5.1249529746869457E-2</v>
      </c>
      <c r="Y19" s="90">
        <v>4.9621049621049622E-2</v>
      </c>
      <c r="Z19" s="91">
        <f>SUM(U19*'Översikt fördelning'!$C$28)</f>
        <v>35634.61331495874</v>
      </c>
      <c r="AA19" s="7">
        <f>SUM(V19*'Översikt fördelning'!$C$29)</f>
        <v>11036.589054176347</v>
      </c>
      <c r="AB19" s="7">
        <f>SUM(W19*'Översikt fördelning'!$C$30)</f>
        <v>9928.5416645221358</v>
      </c>
      <c r="AC19" s="7">
        <f>SUM(X19*'Översikt fördelning'!$C$31)</f>
        <v>15099.068907223484</v>
      </c>
      <c r="AD19" s="7">
        <f>SUM(Y19*'Översikt fördelning'!$C$32)</f>
        <v>12932.447288247675</v>
      </c>
      <c r="AE19" s="92">
        <f t="shared" si="0"/>
        <v>84631.260229128384</v>
      </c>
      <c r="AG19" s="4" t="s">
        <v>77</v>
      </c>
      <c r="AH19" s="5">
        <f t="shared" si="1"/>
        <v>8693.2494102142518</v>
      </c>
      <c r="AI19" s="5"/>
      <c r="AJ19" s="5">
        <v>42500</v>
      </c>
      <c r="AK19" s="5"/>
      <c r="AL19" s="28">
        <f>-1493*1.0276*1.0091*1.0182*1.0155*1.0184*1.0123*1.0203*1.0165</f>
        <v>-1711.5674832154889</v>
      </c>
      <c r="AM19" s="28">
        <f>-649*1.006*1.0089*1.0057*1.0276*1.0091*1.0182*1.0155*1.0184*1.0123*1.0203*1.0165</f>
        <v>-759.44000200791584</v>
      </c>
      <c r="AN19" s="28">
        <f>-872*1.0276*1.0091*1.0182*1.0155*1.0184*1.0123*1.0203*1.0165</f>
        <v>-999.65629294300516</v>
      </c>
      <c r="AO19" s="28">
        <v>-97.354491722711828</v>
      </c>
      <c r="AP19" s="5">
        <f t="shared" si="2"/>
        <v>84631.260229128384</v>
      </c>
      <c r="AQ19" s="116">
        <f t="shared" si="3"/>
        <v>132256.49136945349</v>
      </c>
      <c r="AR19" s="88">
        <f t="shared" si="4"/>
        <v>3.3945962571556632E-2</v>
      </c>
      <c r="AS19" s="135">
        <v>3973</v>
      </c>
      <c r="AT19" s="89"/>
      <c r="AU19" s="116">
        <v>132256.49136945349</v>
      </c>
      <c r="AV19" s="7">
        <f t="shared" si="7"/>
        <v>0</v>
      </c>
    </row>
    <row r="20" spans="1:49" ht="11.25" x14ac:dyDescent="0.2">
      <c r="A20" s="65" t="s">
        <v>78</v>
      </c>
      <c r="B20" s="28"/>
      <c r="C20" s="28"/>
      <c r="D20" s="28"/>
      <c r="E20" s="28">
        <f>1083.20872459566*1.0362*1.006*1.0089*1.0057*1.0276*1.0091*1.0182*1.0155*1.0184*1.0123*1.0203*1.0165</f>
        <v>1313.422674398252</v>
      </c>
      <c r="F20" s="28"/>
      <c r="G20" s="28"/>
      <c r="H20" s="28">
        <f>(700*1.006*1.0089*1.0057*1.0276*1.0091*1.0182*1.0155)+200*1.0155*1.0184*1.0123*1.0203*1.0165</f>
        <v>983.25376426334788</v>
      </c>
      <c r="I20" s="28"/>
      <c r="J20" s="28"/>
      <c r="K20" s="28"/>
      <c r="L20" s="28"/>
      <c r="M20" s="28"/>
      <c r="N20" s="28">
        <f t="shared" si="8"/>
        <v>1679.8267358159999</v>
      </c>
      <c r="O20" s="28">
        <f>8800*1.0123*1.0203*1.0165</f>
        <v>9239.0470469880001</v>
      </c>
      <c r="P20" s="28"/>
      <c r="Q20" s="28"/>
      <c r="R20" s="81">
        <f t="shared" si="6"/>
        <v>13215.550221465601</v>
      </c>
      <c r="S20" s="33"/>
      <c r="T20" s="65" t="s">
        <v>78</v>
      </c>
      <c r="U20" s="89">
        <v>2.9513664805987147E-2</v>
      </c>
      <c r="V20" s="6">
        <v>2.152950244567186E-2</v>
      </c>
      <c r="W20" s="89">
        <v>4.5238095238095237E-2</v>
      </c>
      <c r="X20" s="89">
        <v>4.126941473638953E-2</v>
      </c>
      <c r="Y20" s="90">
        <v>3.6020147131258243E-2</v>
      </c>
      <c r="Z20" s="91">
        <f>SUM(U20*'Översikt fördelning'!$C$28)</f>
        <v>38459.879154241644</v>
      </c>
      <c r="AA20" s="7">
        <f>SUM(V20*'Översikt fördelning'!$C$29)</f>
        <v>4879.2258728412717</v>
      </c>
      <c r="AB20" s="7">
        <f>SUM(W20*'Översikt fördelning'!$C$30)</f>
        <v>8201.8387663443718</v>
      </c>
      <c r="AC20" s="7">
        <f>SUM(X20*'Översikt fördelning'!$C$31)</f>
        <v>12158.740576611695</v>
      </c>
      <c r="AD20" s="7">
        <f>SUM(Y20*'Översikt fördelning'!$C$32)</f>
        <v>9387.7227033165163</v>
      </c>
      <c r="AE20" s="92">
        <f t="shared" si="0"/>
        <v>73087.407073355498</v>
      </c>
      <c r="AG20" s="4" t="s">
        <v>78</v>
      </c>
      <c r="AH20" s="5">
        <f t="shared" si="1"/>
        <v>13215.550221465601</v>
      </c>
      <c r="AI20" s="5"/>
      <c r="AJ20" s="5">
        <v>42500</v>
      </c>
      <c r="AK20" s="139">
        <f>472500+20500</f>
        <v>493000</v>
      </c>
      <c r="AL20" s="28">
        <f>1493*1.0276*1.0091*1.0182*1.0155*1.0184*1.0123*1.0203*1.0165</f>
        <v>1711.5674832154889</v>
      </c>
      <c r="AM20" s="28">
        <f>-147*1.006*1.0089*1.0057*1.0276*1.0091*1.0182*1.0155*1.0184*1.0123*1.0203*1.0165</f>
        <v>-172.0149157090348</v>
      </c>
      <c r="AN20" s="28">
        <f>-601*1.0276*1.0091*1.0182*1.0155*1.0184*1.0123*1.0203*1.0165</f>
        <v>-688.98329364535084</v>
      </c>
      <c r="AO20" s="28">
        <v>-1804.3811339241122</v>
      </c>
      <c r="AP20" s="5">
        <f t="shared" si="2"/>
        <v>73087.407073355498</v>
      </c>
      <c r="AQ20" s="140">
        <f t="shared" si="3"/>
        <v>620849.14543475816</v>
      </c>
      <c r="AR20" s="88">
        <f t="shared" si="4"/>
        <v>0.1593518899169804</v>
      </c>
      <c r="AS20" s="135">
        <v>18010</v>
      </c>
      <c r="AT20" s="89"/>
      <c r="AU20" s="116">
        <v>174249.1454347581</v>
      </c>
      <c r="AV20" s="7">
        <f t="shared" si="7"/>
        <v>446600.00000000006</v>
      </c>
      <c r="AW20" s="137"/>
    </row>
    <row r="21" spans="1:49" ht="11.25" x14ac:dyDescent="0.2">
      <c r="A21" s="65" t="s">
        <v>79</v>
      </c>
      <c r="B21" s="28"/>
      <c r="C21" s="28"/>
      <c r="D21" s="28"/>
      <c r="E21" s="28">
        <f>806.108818303748*1.0362*1.006*1.0089*1.0057*1.0276*1.0091*1.0182*1.0155*1.0184*1.0123*1.0203*1.0165</f>
        <v>977.43082745916524</v>
      </c>
      <c r="F21" s="28"/>
      <c r="G21" s="28"/>
      <c r="H21" s="28"/>
      <c r="I21" s="28"/>
      <c r="J21" s="28"/>
      <c r="K21" s="28"/>
      <c r="L21" s="28"/>
      <c r="M21" s="28"/>
      <c r="N21" s="28">
        <f t="shared" si="8"/>
        <v>1679.8267358159999</v>
      </c>
      <c r="O21" s="28"/>
      <c r="P21" s="28"/>
      <c r="Q21" s="28"/>
      <c r="R21" s="81">
        <f t="shared" si="6"/>
        <v>2657.257563275165</v>
      </c>
      <c r="S21" s="33"/>
      <c r="T21" s="65" t="s">
        <v>79</v>
      </c>
      <c r="U21" s="89">
        <v>2.6709525330645904E-2</v>
      </c>
      <c r="V21" s="6">
        <v>1.2647502059059674E-2</v>
      </c>
      <c r="W21" s="89">
        <v>2.8571428571428571E-2</v>
      </c>
      <c r="X21" s="89">
        <v>3.1772988660181654E-2</v>
      </c>
      <c r="Y21" s="90">
        <v>2.5549358882692216E-2</v>
      </c>
      <c r="Z21" s="91">
        <f>SUM(U21*'Översikt fördelning'!$C$28)</f>
        <v>34805.745854896697</v>
      </c>
      <c r="AA21" s="7">
        <f>SUM(V21*'Översikt fördelning'!$C$29)</f>
        <v>2866.300297886492</v>
      </c>
      <c r="AB21" s="7">
        <f>SUM(W21*'Översikt fördelning'!$C$30)</f>
        <v>5180.1086945332872</v>
      </c>
      <c r="AC21" s="7">
        <f>SUM(X21*'Översikt fördelning'!$C$31)</f>
        <v>9360.9160423138892</v>
      </c>
      <c r="AD21" s="7">
        <f>SUM(Y21*'Översikt fördelning'!$C$32)</f>
        <v>6658.7816969267569</v>
      </c>
      <c r="AE21" s="92">
        <f t="shared" si="0"/>
        <v>58871.852586557121</v>
      </c>
      <c r="AG21" s="4" t="s">
        <v>79</v>
      </c>
      <c r="AH21" s="5">
        <f t="shared" si="1"/>
        <v>2657.257563275165</v>
      </c>
      <c r="AI21" s="5"/>
      <c r="AJ21" s="5">
        <v>42500</v>
      </c>
      <c r="AK21" s="5">
        <v>35000</v>
      </c>
      <c r="AL21" s="28">
        <f>-1248*1.0276*1.0091*1.0182*1.0155*1.0184*1.0123*1.0203*1.0165</f>
        <v>-1430.7007495331077</v>
      </c>
      <c r="AM21" s="28">
        <f>-222*1.006*1.0089*1.0057*1.0276*1.0091*1.0182*1.0155*1.0184*1.0123*1.0203*1.0165</f>
        <v>-259.77762780548113</v>
      </c>
      <c r="AN21" s="28">
        <f>-382*1.0276*1.0091*1.0182*1.0155*1.0184*1.0123*1.0203*1.0165</f>
        <v>-437.92282557824296</v>
      </c>
      <c r="AO21" s="28">
        <v>-404.32780564620043</v>
      </c>
      <c r="AP21" s="5">
        <f t="shared" si="2"/>
        <v>58871.852586557121</v>
      </c>
      <c r="AQ21" s="116">
        <f t="shared" si="3"/>
        <v>136496.38114126926</v>
      </c>
      <c r="AR21" s="88">
        <f t="shared" si="4"/>
        <v>3.5034205107036642E-2</v>
      </c>
      <c r="AS21" s="135">
        <v>4094</v>
      </c>
      <c r="AT21" s="89"/>
      <c r="AU21" s="116">
        <v>136496.38114126926</v>
      </c>
      <c r="AV21" s="7">
        <f t="shared" si="7"/>
        <v>0</v>
      </c>
    </row>
    <row r="22" spans="1:49" ht="11.25" x14ac:dyDescent="0.2">
      <c r="A22" s="65" t="s">
        <v>80</v>
      </c>
      <c r="B22" s="28"/>
      <c r="C22" s="28"/>
      <c r="D22" s="28"/>
      <c r="E22" s="28">
        <f t="shared" ref="E22:E27" si="9">1083.20872459566*1.0362*1.006*1.0089*1.0057*1.0276*1.0091*1.0182*1.0155*1.0184*1.0123*1.0203*1.0165</f>
        <v>1313.422674398252</v>
      </c>
      <c r="F22" s="28"/>
      <c r="G22" s="28"/>
      <c r="H22" s="28"/>
      <c r="I22" s="28"/>
      <c r="J22" s="28"/>
      <c r="K22" s="28"/>
      <c r="L22" s="28"/>
      <c r="M22" s="28"/>
      <c r="N22" s="28">
        <f t="shared" si="8"/>
        <v>1679.8267358159999</v>
      </c>
      <c r="O22" s="28"/>
      <c r="P22" s="28"/>
      <c r="Q22" s="28"/>
      <c r="R22" s="81">
        <f t="shared" si="6"/>
        <v>2993.2494102142518</v>
      </c>
      <c r="S22" s="33"/>
      <c r="T22" s="65" t="s">
        <v>80</v>
      </c>
      <c r="U22" s="89">
        <v>2.7883177767821704E-2</v>
      </c>
      <c r="V22" s="6">
        <v>6.7547460624192507E-2</v>
      </c>
      <c r="W22" s="89">
        <v>5.4761904761904762E-2</v>
      </c>
      <c r="X22" s="89">
        <v>3.8877841672488846E-2</v>
      </c>
      <c r="Y22" s="90">
        <v>3.0824475268919713E-2</v>
      </c>
      <c r="Z22" s="91">
        <f>SUM(U22*'Översikt fördelning'!$C$28)</f>
        <v>36335.157102181227</v>
      </c>
      <c r="AA22" s="7">
        <f>SUM(V22*'Översikt fördelning'!$C$29)</f>
        <v>15308.264478194822</v>
      </c>
      <c r="AB22" s="7">
        <f>SUM(W22*'Översikt fördelning'!$C$30)</f>
        <v>9928.5416645221358</v>
      </c>
      <c r="AC22" s="7">
        <f>SUM(X22*'Översikt fördelning'!$C$31)</f>
        <v>11454.138472614793</v>
      </c>
      <c r="AD22" s="7">
        <f>SUM(Y22*'Översikt fördelning'!$C$32)</f>
        <v>8033.6047836056641</v>
      </c>
      <c r="AE22" s="92">
        <f t="shared" si="0"/>
        <v>81059.706501118635</v>
      </c>
      <c r="AG22" s="4" t="s">
        <v>80</v>
      </c>
      <c r="AH22" s="5">
        <f t="shared" si="1"/>
        <v>2993.2494102142518</v>
      </c>
      <c r="AI22" s="5"/>
      <c r="AJ22" s="5">
        <v>42500</v>
      </c>
      <c r="AK22" s="5"/>
      <c r="AL22" s="28">
        <f>1269*1.0276*1.0091*1.0182*1.0155*1.0184*1.0123*1.0203*1.0165</f>
        <v>1454.775040991598</v>
      </c>
      <c r="AM22" s="28">
        <f>826*1.006*1.0089*1.0057*1.0276*1.0091*1.0182*1.0155*1.0184*1.0123*1.0203*1.0165</f>
        <v>966.56000255552908</v>
      </c>
      <c r="AN22" s="28">
        <f>1952*1.0276*1.0091*1.0182*1.0155*1.0184*1.0123*1.0203*1.0165</f>
        <v>2237.7627108081942</v>
      </c>
      <c r="AO22" s="28">
        <v>631.53890834882623</v>
      </c>
      <c r="AP22" s="5">
        <f t="shared" si="2"/>
        <v>81059.706501118635</v>
      </c>
      <c r="AQ22" s="116">
        <f t="shared" si="3"/>
        <v>131843.59257403703</v>
      </c>
      <c r="AR22" s="88">
        <f t="shared" si="4"/>
        <v>3.3839984808878093E-2</v>
      </c>
      <c r="AS22" s="135">
        <v>3955</v>
      </c>
      <c r="AT22" s="89"/>
      <c r="AU22" s="116">
        <v>131843.59257403703</v>
      </c>
      <c r="AV22" s="7">
        <f t="shared" si="7"/>
        <v>0</v>
      </c>
    </row>
    <row r="23" spans="1:49" ht="11.25" x14ac:dyDescent="0.2">
      <c r="A23" s="65" t="s">
        <v>81</v>
      </c>
      <c r="B23" s="28"/>
      <c r="C23" s="28"/>
      <c r="D23" s="28"/>
      <c r="E23" s="28">
        <f t="shared" si="9"/>
        <v>1313.422674398252</v>
      </c>
      <c r="F23" s="28"/>
      <c r="G23" s="28"/>
      <c r="H23" s="28"/>
      <c r="I23" s="28"/>
      <c r="J23" s="28"/>
      <c r="K23" s="28">
        <f>840*1.0276*1.0091*1.0182*1.0155*1.0184*1.0123*1.0203*1.0165</f>
        <v>962.97165833959195</v>
      </c>
      <c r="L23" s="28"/>
      <c r="M23" s="28"/>
      <c r="N23" s="28">
        <f t="shared" si="8"/>
        <v>1679.8267358159999</v>
      </c>
      <c r="O23" s="28"/>
      <c r="P23" s="28">
        <f>(3000+794)*1.0165</f>
        <v>3856.6009999999997</v>
      </c>
      <c r="Q23" s="28"/>
      <c r="R23" s="81">
        <f t="shared" si="6"/>
        <v>7812.8220685538436</v>
      </c>
      <c r="S23" s="33"/>
      <c r="T23" s="65" t="s">
        <v>81</v>
      </c>
      <c r="U23" s="89">
        <v>2.7826630203816205E-2</v>
      </c>
      <c r="V23" s="6">
        <v>4.3861619657421552E-2</v>
      </c>
      <c r="W23" s="89">
        <v>4.0476190476190478E-2</v>
      </c>
      <c r="X23" s="89">
        <v>4.2720481539205678E-2</v>
      </c>
      <c r="Y23" s="90">
        <v>3.3636811414589192E-2</v>
      </c>
      <c r="Z23" s="91">
        <f>SUM(U23*'Översikt fördelning'!$C$28)</f>
        <v>36261.4687787414</v>
      </c>
      <c r="AA23" s="7">
        <f>SUM(V23*'Översikt fördelning'!$C$29)</f>
        <v>9940.3481337878184</v>
      </c>
      <c r="AB23" s="7">
        <f>SUM(W23*'Översikt fördelning'!$C$30)</f>
        <v>7338.4873172554917</v>
      </c>
      <c r="AC23" s="7">
        <f>SUM(X23*'Översikt fördelning'!$C$31)</f>
        <v>12586.251965553638</v>
      </c>
      <c r="AD23" s="7">
        <f>SUM(Y23*'Översikt fördelning'!$C$32)</f>
        <v>8766.5676942748414</v>
      </c>
      <c r="AE23" s="92">
        <f t="shared" si="0"/>
        <v>74893.123889613184</v>
      </c>
      <c r="AG23" s="4" t="s">
        <v>81</v>
      </c>
      <c r="AH23" s="5">
        <f t="shared" si="1"/>
        <v>7812.8220685538436</v>
      </c>
      <c r="AI23" s="5"/>
      <c r="AJ23" s="5">
        <v>42500</v>
      </c>
      <c r="AK23" s="5"/>
      <c r="AL23" s="28">
        <f>-1269*1.0276*1.0091*1.0182*1.0155*1.0184*1.0123*1.0203*1.0165</f>
        <v>-1454.775040991598</v>
      </c>
      <c r="AM23" s="28">
        <f>-279*1.006*1.0089*1.0057*1.0276*1.0091*1.0182*1.0155*1.0184*1.0123*1.0203*1.0165</f>
        <v>-326.4772889987803</v>
      </c>
      <c r="AN23" s="28">
        <f>-479*1.0276*1.0091*1.0182*1.0155*1.0184*1.0123*1.0203*1.0165</f>
        <v>-549.1231242198387</v>
      </c>
      <c r="AO23" s="28">
        <v>1401.6085489005393</v>
      </c>
      <c r="AP23" s="5">
        <f t="shared" si="2"/>
        <v>74893.123889613184</v>
      </c>
      <c r="AQ23" s="116">
        <f t="shared" si="3"/>
        <v>124277.17905285735</v>
      </c>
      <c r="AR23" s="88">
        <f t="shared" si="4"/>
        <v>3.1897931246657192E-2</v>
      </c>
      <c r="AS23" s="135">
        <v>3730</v>
      </c>
      <c r="AT23" s="89"/>
      <c r="AU23" s="116">
        <v>124277.17905285735</v>
      </c>
      <c r="AV23" s="7">
        <f t="shared" si="7"/>
        <v>0</v>
      </c>
    </row>
    <row r="24" spans="1:49" ht="11.25" x14ac:dyDescent="0.2">
      <c r="A24" s="65" t="s">
        <v>82</v>
      </c>
      <c r="B24" s="28"/>
      <c r="C24" s="28"/>
      <c r="D24" s="28"/>
      <c r="E24" s="28">
        <f t="shared" si="9"/>
        <v>1313.422674398252</v>
      </c>
      <c r="F24" s="28"/>
      <c r="G24" s="28"/>
      <c r="H24" s="28"/>
      <c r="I24" s="28"/>
      <c r="J24" s="28"/>
      <c r="K24" s="28">
        <f>1680*1.0276*1.0091*1.0182*1.0155*1.0184*1.0123*1.0203*1.0165</f>
        <v>1925.9433166791839</v>
      </c>
      <c r="L24" s="28">
        <f>2808*1.0203*1.0165</f>
        <v>2912.2749395999999</v>
      </c>
      <c r="M24" s="28"/>
      <c r="N24" s="28">
        <f t="shared" si="8"/>
        <v>1679.8267358159999</v>
      </c>
      <c r="O24" s="28"/>
      <c r="P24" s="28"/>
      <c r="Q24" s="28"/>
      <c r="R24" s="81">
        <f t="shared" si="6"/>
        <v>7831.4676664934359</v>
      </c>
      <c r="S24" s="33"/>
      <c r="T24" s="65" t="s">
        <v>82</v>
      </c>
      <c r="U24" s="89">
        <v>2.3756464359687434E-2</v>
      </c>
      <c r="V24" s="6">
        <v>5.1307133835202058E-2</v>
      </c>
      <c r="W24" s="89">
        <v>2.3809523809523808E-2</v>
      </c>
      <c r="X24" s="89">
        <v>5.4248401139356153E-2</v>
      </c>
      <c r="Y24" s="90">
        <v>3.1174031174031173E-2</v>
      </c>
      <c r="Z24" s="91">
        <f>SUM(U24*'Översikt fördelning'!$C$28)</f>
        <v>30957.549813342051</v>
      </c>
      <c r="AA24" s="7">
        <f>SUM(V24*'Översikt fördelning'!$C$29)</f>
        <v>11627.723190619954</v>
      </c>
      <c r="AB24" s="7">
        <f>SUM(W24*'Översikt fördelning'!$C$30)</f>
        <v>4316.7572454444062</v>
      </c>
      <c r="AC24" s="7">
        <f>SUM(X24*'Översikt fördelning'!$C$31)</f>
        <v>15982.592444370159</v>
      </c>
      <c r="AD24" s="7">
        <f>SUM(Y24*'Översikt fördelning'!$C$32)</f>
        <v>8124.7075182651097</v>
      </c>
      <c r="AE24" s="92">
        <f t="shared" si="0"/>
        <v>71009.330212041677</v>
      </c>
      <c r="AG24" s="4" t="s">
        <v>82</v>
      </c>
      <c r="AH24" s="5">
        <f t="shared" si="1"/>
        <v>7831.4676664934359</v>
      </c>
      <c r="AI24" s="5"/>
      <c r="AJ24" s="5">
        <v>42500</v>
      </c>
      <c r="AK24" s="5">
        <v>400</v>
      </c>
      <c r="AL24" s="28">
        <f>1560*1.0276*1.0091*1.0182*1.0155*1.0184*1.0123*1.0203*1.0165</f>
        <v>1788.3759369163849</v>
      </c>
      <c r="AM24" s="28">
        <f>210*1.006*1.0089*1.0057*1.0276*1.0091*1.0182*1.0155*1.0184*1.0123*1.0203*1.0165</f>
        <v>245.73559387004971</v>
      </c>
      <c r="AN24" s="28">
        <f>512*1.0276*1.0091*1.0182*1.0155*1.0184*1.0123*1.0203*1.0165</f>
        <v>586.95415365460849</v>
      </c>
      <c r="AO24" s="28">
        <v>3245.2147291683941</v>
      </c>
      <c r="AP24" s="5">
        <f t="shared" si="2"/>
        <v>71009.330212041677</v>
      </c>
      <c r="AQ24" s="116">
        <f t="shared" si="3"/>
        <v>127607.07829214455</v>
      </c>
      <c r="AR24" s="88">
        <f t="shared" si="4"/>
        <v>3.2752608652457521E-2</v>
      </c>
      <c r="AS24" s="135">
        <v>3828</v>
      </c>
      <c r="AT24" s="89"/>
      <c r="AU24" s="116">
        <v>127607.07829214455</v>
      </c>
      <c r="AV24" s="7">
        <f t="shared" si="7"/>
        <v>0</v>
      </c>
    </row>
    <row r="25" spans="1:49" ht="11.25" x14ac:dyDescent="0.2">
      <c r="A25" s="65" t="s">
        <v>83</v>
      </c>
      <c r="B25" s="28">
        <f>3479.45516270874*1.0362*1.006*1.0089*1.0057*1.0276*1.0091*1.0182*1.0155*1.0184*1.0123*1.0203*1.0165</f>
        <v>4218.9424821699104</v>
      </c>
      <c r="C25" s="28"/>
      <c r="D25" s="28"/>
      <c r="E25" s="28">
        <f t="shared" si="9"/>
        <v>1313.422674398252</v>
      </c>
      <c r="F25" s="28">
        <f>((2598*1.0089*1.0057*1.0276*1.0091*1.0182*1.0155*1.0184*1.0123*1.0203)+1000)*1.0165+1257</f>
        <v>5295.4685358060651</v>
      </c>
      <c r="G25" s="28"/>
      <c r="H25" s="28"/>
      <c r="I25" s="28"/>
      <c r="J25" s="28"/>
      <c r="K25" s="28"/>
      <c r="L25" s="28"/>
      <c r="M25" s="28"/>
      <c r="N25" s="28">
        <f t="shared" si="8"/>
        <v>1679.8267358159999</v>
      </c>
      <c r="O25" s="28"/>
      <c r="P25" s="28"/>
      <c r="Q25" s="28"/>
      <c r="R25" s="81">
        <f t="shared" si="6"/>
        <v>12507.660428190227</v>
      </c>
      <c r="S25" s="33"/>
      <c r="T25" s="65" t="s">
        <v>83</v>
      </c>
      <c r="U25" s="89">
        <v>1.2666073369108705E-2</v>
      </c>
      <c r="V25" s="6">
        <v>0.12013769186981928</v>
      </c>
      <c r="W25" s="89">
        <v>3.5714285714285712E-2</v>
      </c>
      <c r="X25" s="89">
        <v>2.2808620411673027E-2</v>
      </c>
      <c r="Y25" s="90">
        <v>2.2848245070467291E-2</v>
      </c>
      <c r="Z25" s="91">
        <f>SUM(U25*'Översikt fördelning'!$C$28)</f>
        <v>16505.427378705564</v>
      </c>
      <c r="AA25" s="7">
        <f>SUM(V25*'Översikt fördelning'!$C$29)</f>
        <v>27226.775721075523</v>
      </c>
      <c r="AB25" s="7">
        <f>SUM(W25*'Översikt fördelning'!$C$30)</f>
        <v>6475.1358681666097</v>
      </c>
      <c r="AC25" s="7">
        <f>SUM(X25*'Översikt fördelning'!$C$31)</f>
        <v>6719.8456839614582</v>
      </c>
      <c r="AD25" s="7">
        <f>SUM(Y25*'Översikt fördelning'!$C$32)</f>
        <v>5954.8060200128584</v>
      </c>
      <c r="AE25" s="92">
        <f t="shared" si="0"/>
        <v>62881.990671922016</v>
      </c>
      <c r="AG25" s="4" t="s">
        <v>83</v>
      </c>
      <c r="AH25" s="5">
        <f t="shared" si="1"/>
        <v>12507.660428190227</v>
      </c>
      <c r="AI25" s="5"/>
      <c r="AJ25" s="5">
        <v>42500</v>
      </c>
      <c r="AK25" s="5"/>
      <c r="AL25" s="28">
        <f>-1560*1.0276*1.0091*1.0182*1.0155*1.0184*1.0123*1.0203*1.0165</f>
        <v>-1788.3759369163849</v>
      </c>
      <c r="AM25" s="28">
        <f>-278*1.006*1.0089*1.0057*1.0276*1.0091*1.0182*1.0155*1.0184*1.0123*1.0203*1.0165</f>
        <v>-325.30711950416105</v>
      </c>
      <c r="AN25" s="28">
        <f>-512*1.0276*1.0091*1.0182*1.0155*1.0184*1.0123*1.0203*1.0165</f>
        <v>-586.95415365460849</v>
      </c>
      <c r="AO25" s="28">
        <v>1716.8139100734454</v>
      </c>
      <c r="AP25" s="5">
        <f t="shared" si="2"/>
        <v>62881.990671922016</v>
      </c>
      <c r="AQ25" s="116">
        <f t="shared" si="3"/>
        <v>116905.82780011054</v>
      </c>
      <c r="AR25" s="94">
        <f t="shared" si="4"/>
        <v>3.000594385808706E-2</v>
      </c>
      <c r="AS25" s="136">
        <v>3508</v>
      </c>
      <c r="AT25" s="89"/>
      <c r="AU25" s="116">
        <v>116905.82780011054</v>
      </c>
      <c r="AV25" s="7">
        <f t="shared" si="7"/>
        <v>0</v>
      </c>
    </row>
    <row r="26" spans="1:49" ht="11.25" x14ac:dyDescent="0.2">
      <c r="A26" s="65" t="s">
        <v>84</v>
      </c>
      <c r="B26" s="28">
        <f>3703.1569283764*1.0362*1.006*1.0089*1.0057*1.0276*1.0091*1.0182*1.0155*1.0184*1.0123*1.0203*1.0165</f>
        <v>4490.1875013978579</v>
      </c>
      <c r="C26" s="28"/>
      <c r="D26" s="28"/>
      <c r="E26" s="28">
        <f t="shared" si="9"/>
        <v>1313.422674398252</v>
      </c>
      <c r="F26" s="28">
        <f>((1795*1.0089*1.0057*1.0276*1.0091*1.0182*1.0155*1.0184*1.0123*1.0203)+1300)*1.0165+1829</f>
        <v>5238.3766827451454</v>
      </c>
      <c r="G26" s="28"/>
      <c r="H26" s="28"/>
      <c r="I26" s="28"/>
      <c r="J26" s="28"/>
      <c r="K26" s="28">
        <f>840*1.0276*1.0091*1.0182*1.0155*1.0184*1.0123*1.0203*1.0165</f>
        <v>962.97165833959195</v>
      </c>
      <c r="L26" s="28"/>
      <c r="M26" s="28"/>
      <c r="N26" s="28">
        <f t="shared" si="8"/>
        <v>1679.8267358159999</v>
      </c>
      <c r="O26" s="28"/>
      <c r="P26" s="28"/>
      <c r="Q26" s="28"/>
      <c r="R26" s="81">
        <f t="shared" si="6"/>
        <v>13684.785252696845</v>
      </c>
      <c r="S26" s="33"/>
      <c r="T26" s="65" t="s">
        <v>84</v>
      </c>
      <c r="U26" s="89">
        <v>2.6311658994175698E-2</v>
      </c>
      <c r="V26" s="6">
        <v>0.13159388841632066</v>
      </c>
      <c r="W26" s="89">
        <v>6.4285714285714279E-2</v>
      </c>
      <c r="X26" s="89">
        <v>5.0346643736228304E-2</v>
      </c>
      <c r="Y26" s="90">
        <v>3.665570332236999E-2</v>
      </c>
      <c r="Z26" s="91">
        <f>SUM(U26*'Översikt fördelning'!$C$28)</f>
        <v>34287.27783946132</v>
      </c>
      <c r="AA26" s="7">
        <f>SUM(V26*'Översikt fördelning'!$C$29)</f>
        <v>29823.090742061137</v>
      </c>
      <c r="AB26" s="7">
        <f>SUM(W26*'Översikt fördelning'!$C$30)</f>
        <v>11655.244562699896</v>
      </c>
      <c r="AC26" s="7">
        <f>SUM(X26*'Översikt fördelning'!$C$31)</f>
        <v>14833.061820770723</v>
      </c>
      <c r="AD26" s="7">
        <f>SUM(Y26*'Översikt fördelning'!$C$32)</f>
        <v>9553.3640390609635</v>
      </c>
      <c r="AE26" s="92">
        <f t="shared" si="0"/>
        <v>100152.03900405405</v>
      </c>
      <c r="AG26" s="95" t="s">
        <v>84</v>
      </c>
      <c r="AH26" s="28">
        <f t="shared" si="1"/>
        <v>13684.785252696845</v>
      </c>
      <c r="AI26" s="28"/>
      <c r="AJ26" s="5">
        <v>42500</v>
      </c>
      <c r="AK26" s="28"/>
      <c r="AL26" s="28"/>
      <c r="AM26" s="28">
        <f>-143*1.006*1.0089*1.0057*1.0276*1.0091*1.0182*1.0155*1.0184*1.0123*1.0203*1.0165</f>
        <v>-167.33423773055767</v>
      </c>
      <c r="AN26" s="28">
        <f>-607*1.0276*1.0091*1.0182*1.0155*1.0184*1.0123*1.0203*1.0165</f>
        <v>-695.86166263349082</v>
      </c>
      <c r="AO26" s="28">
        <v>-622.7433997890912</v>
      </c>
      <c r="AP26" s="28">
        <f t="shared" si="2"/>
        <v>100152.03900405405</v>
      </c>
      <c r="AQ26" s="117">
        <f t="shared" si="3"/>
        <v>154850.88495659776</v>
      </c>
      <c r="AR26" s="94">
        <f t="shared" si="4"/>
        <v>3.9745212431388961E-2</v>
      </c>
      <c r="AS26" s="136">
        <v>4645</v>
      </c>
      <c r="AT26" s="89"/>
      <c r="AU26" s="117">
        <v>154850.88495659776</v>
      </c>
      <c r="AV26" s="7">
        <f t="shared" si="7"/>
        <v>0</v>
      </c>
    </row>
    <row r="27" spans="1:49" ht="11.25" x14ac:dyDescent="0.2">
      <c r="A27" s="65" t="s">
        <v>85</v>
      </c>
      <c r="B27" s="28">
        <f>5374.09359118039*1.0362*1.006*1.0089*1.0057*1.0276*1.0091*1.0182*1.0155*1.0184*1.0123*1.0203*1.0165</f>
        <v>6516.2477154432372</v>
      </c>
      <c r="C27" s="28"/>
      <c r="D27" s="28"/>
      <c r="E27" s="28">
        <f t="shared" si="9"/>
        <v>1313.422674398252</v>
      </c>
      <c r="F27" s="28">
        <f>((1207*1.0089*1.0057*1.0276*1.0091*1.0182*1.0155*1.0184*1.0123*1.0203)+1050)*1.0165+2214</f>
        <v>4685.2957554726408</v>
      </c>
      <c r="G27" s="28"/>
      <c r="H27" s="28"/>
      <c r="I27" s="28"/>
      <c r="J27" s="28"/>
      <c r="K27" s="28">
        <f>840*1.0276*1.0091*1.0182*1.0155*1.0184*1.0123*1.0203*1.0165</f>
        <v>962.97165833959195</v>
      </c>
      <c r="L27" s="28">
        <f>3349*1.0203*1.0165</f>
        <v>3473.3649475499997</v>
      </c>
      <c r="M27" s="28"/>
      <c r="N27" s="28">
        <f t="shared" si="8"/>
        <v>1679.8267358159999</v>
      </c>
      <c r="O27" s="28"/>
      <c r="P27" s="28">
        <f>(3000+794)*1.0165</f>
        <v>3856.6009999999997</v>
      </c>
      <c r="Q27" s="28">
        <v>3000</v>
      </c>
      <c r="R27" s="81">
        <f t="shared" si="6"/>
        <v>25487.730487019722</v>
      </c>
      <c r="S27" s="33"/>
      <c r="T27" s="65" t="s">
        <v>85</v>
      </c>
      <c r="U27" s="89">
        <v>2.4216010145252681E-2</v>
      </c>
      <c r="V27" s="6">
        <v>0.23518215148899443</v>
      </c>
      <c r="W27" s="89">
        <v>0.05</v>
      </c>
      <c r="X27" s="89">
        <v>4.8471005535551136E-2</v>
      </c>
      <c r="Y27" s="90">
        <v>2.0035908924797813E-2</v>
      </c>
      <c r="Z27" s="91">
        <f>SUM(U27*'Översikt fördelning'!$C$28)</f>
        <v>31556.393619926694</v>
      </c>
      <c r="AA27" s="7">
        <f>SUM(V27*'Översikt fördelning'!$C$29)</f>
        <v>53299.273463064339</v>
      </c>
      <c r="AB27" s="7">
        <f>SUM(W27*'Översikt fördelning'!$C$30)</f>
        <v>9065.1902154332547</v>
      </c>
      <c r="AC27" s="7">
        <f>SUM(X27*'Översikt fördelning'!$C$31)</f>
        <v>14280.463766175399</v>
      </c>
      <c r="AD27" s="7">
        <f>SUM(Y27*'Översikt fördelning'!$C$32)</f>
        <v>5221.843109343682</v>
      </c>
      <c r="AE27" s="92">
        <f t="shared" si="0"/>
        <v>113423.16417394335</v>
      </c>
      <c r="AG27" s="95" t="s">
        <v>85</v>
      </c>
      <c r="AH27" s="28">
        <f t="shared" si="1"/>
        <v>25487.730487019722</v>
      </c>
      <c r="AI27" s="28"/>
      <c r="AJ27" s="5">
        <v>42500</v>
      </c>
      <c r="AK27" s="28"/>
      <c r="AL27" s="28"/>
      <c r="AM27" s="28">
        <f>233*1.006*1.0089*1.0057*1.0276*1.0091*1.0182*1.0155*1.0184*1.0123*1.0203*1.0165</f>
        <v>272.64949224629339</v>
      </c>
      <c r="AN27" s="28">
        <f>607*1.0276*1.0091*1.0182*1.0155*1.0184*1.0123*1.0203*1.0165</f>
        <v>695.86166263349082</v>
      </c>
      <c r="AO27" s="28">
        <v>102.86943716862395</v>
      </c>
      <c r="AP27" s="28">
        <f t="shared" si="2"/>
        <v>113423.16417394335</v>
      </c>
      <c r="AQ27" s="117">
        <f t="shared" si="3"/>
        <v>182482.2752530115</v>
      </c>
      <c r="AR27" s="94">
        <f t="shared" si="4"/>
        <v>4.6837296389536154E-2</v>
      </c>
      <c r="AS27" s="136">
        <v>5474</v>
      </c>
      <c r="AT27" s="89"/>
      <c r="AU27" s="117">
        <v>182482.2752530115</v>
      </c>
      <c r="AV27" s="7">
        <f t="shared" si="7"/>
        <v>0</v>
      </c>
    </row>
    <row r="28" spans="1:49" ht="11.25" x14ac:dyDescent="0.2">
      <c r="A28" s="96" t="s">
        <v>44</v>
      </c>
      <c r="B28" s="97">
        <f t="shared" ref="B28:Q28" si="10">SUM(B7:B27)</f>
        <v>15225.377699011005</v>
      </c>
      <c r="C28" s="97">
        <f t="shared" si="10"/>
        <v>987.35247240000001</v>
      </c>
      <c r="D28" s="97">
        <f t="shared" si="10"/>
        <v>3000</v>
      </c>
      <c r="E28" s="97">
        <f t="shared" si="10"/>
        <v>13439.673877563513</v>
      </c>
      <c r="F28" s="97">
        <f t="shared" si="10"/>
        <v>15219.140974023852</v>
      </c>
      <c r="G28" s="97">
        <f t="shared" si="10"/>
        <v>20084.006999999998</v>
      </c>
      <c r="H28" s="97">
        <f t="shared" si="10"/>
        <v>983.25376426334788</v>
      </c>
      <c r="I28" s="97">
        <f t="shared" si="10"/>
        <v>5700</v>
      </c>
      <c r="J28" s="97">
        <f t="shared" si="10"/>
        <v>0</v>
      </c>
      <c r="K28" s="97">
        <f t="shared" si="10"/>
        <v>17195.922470349855</v>
      </c>
      <c r="L28" s="97">
        <f t="shared" si="10"/>
        <v>8712.9707149499991</v>
      </c>
      <c r="M28" s="97">
        <f t="shared" si="10"/>
        <v>1896.5270662770702</v>
      </c>
      <c r="N28" s="97">
        <f t="shared" si="10"/>
        <v>37796.101555860005</v>
      </c>
      <c r="O28" s="97">
        <f t="shared" si="10"/>
        <v>9239.0470469880001</v>
      </c>
      <c r="P28" s="97">
        <f t="shared" si="10"/>
        <v>21012.071499999998</v>
      </c>
      <c r="Q28" s="97">
        <f t="shared" si="10"/>
        <v>15000</v>
      </c>
      <c r="R28" s="98">
        <f>SUM(B28:Q28)</f>
        <v>185491.44614168664</v>
      </c>
      <c r="S28" s="33"/>
      <c r="T28" s="118" t="s">
        <v>44</v>
      </c>
      <c r="U28" s="99">
        <f t="shared" ref="U28:Y28" si="11">SUM(U7:U27)</f>
        <v>0.99999999999999989</v>
      </c>
      <c r="V28" s="99">
        <f t="shared" si="11"/>
        <v>1</v>
      </c>
      <c r="W28" s="99">
        <f t="shared" si="11"/>
        <v>1</v>
      </c>
      <c r="X28" s="99">
        <f t="shared" si="11"/>
        <v>1</v>
      </c>
      <c r="Y28" s="100">
        <f t="shared" si="11"/>
        <v>0.99999999999999989</v>
      </c>
      <c r="Z28" s="101">
        <f t="shared" ref="Z28:AE28" si="12">SUM(Z7:Z27)</f>
        <v>1303121.0934685299</v>
      </c>
      <c r="AA28" s="102">
        <f t="shared" si="12"/>
        <v>226629.75538583135</v>
      </c>
      <c r="AB28" s="102">
        <f t="shared" si="12"/>
        <v>181303.80430866507</v>
      </c>
      <c r="AC28" s="102">
        <f t="shared" si="12"/>
        <v>294618.68200158066</v>
      </c>
      <c r="AD28" s="102">
        <f t="shared" si="12"/>
        <v>260624.218693706</v>
      </c>
      <c r="AE28" s="103">
        <f t="shared" si="12"/>
        <v>2266297.5538583132</v>
      </c>
      <c r="AG28" s="104" t="s">
        <v>86</v>
      </c>
      <c r="AH28" s="102">
        <f t="shared" ref="AH28:AN28" si="13">SUM(AH7:AH27)</f>
        <v>185491.44614168664</v>
      </c>
      <c r="AI28" s="102">
        <f t="shared" si="13"/>
        <v>18000</v>
      </c>
      <c r="AJ28" s="102">
        <f t="shared" si="13"/>
        <v>892500</v>
      </c>
      <c r="AK28" s="102">
        <f t="shared" si="13"/>
        <v>533800</v>
      </c>
      <c r="AL28" s="102">
        <f t="shared" si="13"/>
        <v>0</v>
      </c>
      <c r="AM28" s="102">
        <f t="shared" si="13"/>
        <v>0</v>
      </c>
      <c r="AN28" s="102">
        <f t="shared" si="13"/>
        <v>-1.1368683772161603E-12</v>
      </c>
      <c r="AO28" s="97">
        <f>SUM(AO7:AO27)</f>
        <v>1.5545253972959472E-10</v>
      </c>
      <c r="AP28" s="102">
        <f>SUM(AP7:AP27)</f>
        <v>2266297.5538583132</v>
      </c>
      <c r="AQ28" s="101">
        <f>SUM(AQ7:AQ27)</f>
        <v>3896088.9999999995</v>
      </c>
      <c r="AR28" s="105">
        <f t="shared" si="4"/>
        <v>1</v>
      </c>
      <c r="AS28" s="106">
        <f>SUM(AS7:AS27)</f>
        <v>116279</v>
      </c>
      <c r="AT28" s="89"/>
      <c r="AU28" s="101">
        <v>3449488.9999999995</v>
      </c>
      <c r="AV28" s="7">
        <f t="shared" si="7"/>
        <v>446600</v>
      </c>
      <c r="AW28" s="137"/>
    </row>
    <row r="29" spans="1:49" ht="12" x14ac:dyDescent="0.2">
      <c r="A29" s="122" t="s">
        <v>12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33"/>
      <c r="T29" s="122" t="s">
        <v>12</v>
      </c>
      <c r="U29" s="107"/>
      <c r="V29" s="107"/>
      <c r="W29" s="107"/>
      <c r="X29" s="107"/>
      <c r="Y29" s="107"/>
      <c r="AG29" s="122" t="s">
        <v>12</v>
      </c>
      <c r="AH29" s="26"/>
      <c r="AI29" s="26"/>
      <c r="AJ29" s="26"/>
      <c r="AK29" s="26"/>
      <c r="AL29" s="26"/>
      <c r="AM29" s="26"/>
      <c r="AN29" s="26"/>
      <c r="AO29" s="12"/>
      <c r="AP29" s="26"/>
      <c r="AQ29" s="26"/>
      <c r="AR29" s="26"/>
      <c r="AS29" s="27"/>
      <c r="AT29" s="89"/>
    </row>
    <row r="30" spans="1:49" x14ac:dyDescent="0.2">
      <c r="S30" s="33"/>
      <c r="T30" s="33"/>
      <c r="U30" s="13"/>
      <c r="V30" s="13"/>
      <c r="X30" s="13"/>
      <c r="Y30" s="13"/>
      <c r="AT30" s="89"/>
    </row>
    <row r="31" spans="1:49" x14ac:dyDescent="0.2">
      <c r="S31" s="33"/>
      <c r="T31" s="33"/>
      <c r="X31" s="13"/>
      <c r="Y31" s="15"/>
      <c r="AG31" s="17"/>
      <c r="AH31" s="17"/>
      <c r="AI31" s="17"/>
      <c r="AJ31" s="17"/>
      <c r="AK31" s="17"/>
      <c r="AL31" s="17"/>
      <c r="AM31" s="17"/>
      <c r="AN31" s="17"/>
      <c r="AP31" s="17"/>
      <c r="AQ31" s="17"/>
      <c r="AR31" s="17"/>
      <c r="AS31" s="29"/>
      <c r="AT31" s="89"/>
    </row>
    <row r="32" spans="1:49" x14ac:dyDescent="0.2">
      <c r="S32" s="33"/>
      <c r="T32" s="33"/>
      <c r="Y32" s="16"/>
      <c r="AG32" s="17"/>
      <c r="AH32" s="17"/>
      <c r="AI32" s="17"/>
      <c r="AJ32" s="17"/>
      <c r="AK32" s="17"/>
      <c r="AL32" s="17"/>
      <c r="AM32" s="17"/>
      <c r="AN32" s="17"/>
      <c r="AP32" s="30"/>
      <c r="AQ32" s="29"/>
      <c r="AR32" s="17"/>
      <c r="AS32" s="29"/>
      <c r="AT32" s="89"/>
    </row>
    <row r="33" spans="1:46" x14ac:dyDescent="0.2">
      <c r="S33" s="33"/>
      <c r="T33" s="33"/>
      <c r="Y33" s="16"/>
      <c r="AG33" s="17"/>
      <c r="AH33" s="17"/>
      <c r="AI33" s="17"/>
      <c r="AJ33" s="17"/>
      <c r="AK33" s="17"/>
      <c r="AL33" s="17"/>
      <c r="AM33" s="17"/>
      <c r="AN33" s="17"/>
      <c r="AP33" s="30"/>
      <c r="AQ33" s="29"/>
      <c r="AR33" s="17"/>
      <c r="AS33" s="29"/>
      <c r="AT33" s="89"/>
    </row>
    <row r="34" spans="1:46" x14ac:dyDescent="0.2">
      <c r="S34" s="33"/>
      <c r="T34" s="33"/>
      <c r="X34" s="7"/>
      <c r="Y34" s="16"/>
      <c r="AA34" s="13"/>
      <c r="AB34" s="13"/>
      <c r="AC34" s="13"/>
      <c r="AD34" s="13"/>
      <c r="AE34" s="13"/>
      <c r="AF34" s="13"/>
      <c r="AG34" s="30"/>
      <c r="AH34" s="30"/>
      <c r="AI34" s="30"/>
      <c r="AJ34" s="30"/>
      <c r="AK34" s="30"/>
      <c r="AL34" s="30"/>
      <c r="AM34" s="30"/>
      <c r="AN34" s="30"/>
      <c r="AP34" s="30"/>
      <c r="AQ34" s="31"/>
      <c r="AR34" s="30"/>
      <c r="AS34" s="31"/>
      <c r="AT34" s="28"/>
    </row>
    <row r="35" spans="1:46" x14ac:dyDescent="0.2">
      <c r="S35" s="33"/>
      <c r="T35" s="33"/>
      <c r="Y35" s="16"/>
    </row>
    <row r="36" spans="1:46" x14ac:dyDescent="0.2">
      <c r="S36" s="33"/>
      <c r="T36" s="33"/>
      <c r="U36" s="17"/>
      <c r="X36" s="7"/>
      <c r="Y36" s="16"/>
    </row>
    <row r="37" spans="1:46" x14ac:dyDescent="0.2">
      <c r="L37" s="28"/>
      <c r="S37" s="33"/>
      <c r="T37" s="33"/>
      <c r="U37" s="17"/>
      <c r="Y37" s="16"/>
    </row>
    <row r="38" spans="1:46" x14ac:dyDescent="0.2">
      <c r="S38" s="33"/>
      <c r="T38" s="33"/>
      <c r="Y38" s="16"/>
    </row>
    <row r="39" spans="1:46" x14ac:dyDescent="0.2">
      <c r="S39" s="33"/>
      <c r="T39" s="33"/>
      <c r="X39" s="7"/>
      <c r="Y39" s="16"/>
    </row>
    <row r="40" spans="1:46" x14ac:dyDescent="0.2">
      <c r="S40" s="33"/>
      <c r="T40" s="33"/>
      <c r="U40" s="18"/>
      <c r="V40" s="19"/>
      <c r="Y40" s="16"/>
    </row>
    <row r="41" spans="1:46" s="13" customFormat="1" x14ac:dyDescent="0.2">
      <c r="A41" s="33"/>
      <c r="B41" s="33"/>
      <c r="C41" s="33"/>
      <c r="D41" s="33"/>
      <c r="E41" s="33"/>
      <c r="F41" s="1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3"/>
      <c r="T41" s="33"/>
      <c r="U41" s="20"/>
      <c r="V41" s="20"/>
      <c r="W41" s="14"/>
      <c r="X41" s="14"/>
      <c r="Y41" s="16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35"/>
      <c r="AP41" s="14"/>
      <c r="AQ41" s="14"/>
      <c r="AR41" s="14"/>
      <c r="AS41" s="7"/>
      <c r="AT41" s="93"/>
    </row>
    <row r="42" spans="1:46" x14ac:dyDescent="0.2">
      <c r="S42" s="33"/>
      <c r="T42" s="33"/>
    </row>
    <row r="43" spans="1:46" x14ac:dyDescent="0.2">
      <c r="S43" s="33"/>
    </row>
    <row r="44" spans="1:46" ht="15" customHeight="1" x14ac:dyDescent="0.2">
      <c r="S44" s="33"/>
    </row>
    <row r="45" spans="1:46" ht="1.5" hidden="1" customHeight="1" x14ac:dyDescent="0.2">
      <c r="S45" s="33"/>
    </row>
    <row r="46" spans="1:46" x14ac:dyDescent="0.2">
      <c r="S46" s="33"/>
    </row>
    <row r="47" spans="1:46" x14ac:dyDescent="0.2">
      <c r="S47" s="33"/>
    </row>
    <row r="48" spans="1:46" x14ac:dyDescent="0.2">
      <c r="S48" s="33"/>
    </row>
    <row r="49" spans="19:19" s="14" customFormat="1" ht="11.25" x14ac:dyDescent="0.2">
      <c r="S49" s="33"/>
    </row>
    <row r="50" spans="19:19" s="14" customFormat="1" ht="11.25" x14ac:dyDescent="0.2">
      <c r="S50" s="33"/>
    </row>
    <row r="51" spans="19:19" s="14" customFormat="1" ht="11.25" x14ac:dyDescent="0.2">
      <c r="S51" s="33"/>
    </row>
    <row r="52" spans="19:19" s="14" customFormat="1" ht="11.25" x14ac:dyDescent="0.2">
      <c r="S52" s="33"/>
    </row>
    <row r="53" spans="19:19" s="14" customFormat="1" ht="11.25" x14ac:dyDescent="0.2">
      <c r="S53" s="33"/>
    </row>
    <row r="54" spans="19:19" s="14" customFormat="1" ht="11.25" x14ac:dyDescent="0.2">
      <c r="S54" s="33"/>
    </row>
    <row r="55" spans="19:19" s="14" customFormat="1" ht="11.25" x14ac:dyDescent="0.2">
      <c r="S55" s="33"/>
    </row>
    <row r="56" spans="19:19" s="14" customFormat="1" ht="11.25" x14ac:dyDescent="0.2">
      <c r="S56" s="33"/>
    </row>
  </sheetData>
  <mergeCells count="4">
    <mergeCell ref="A3:P3"/>
    <mergeCell ref="T3:Y4"/>
    <mergeCell ref="Z3:AE4"/>
    <mergeCell ref="AG3:AP4"/>
  </mergeCells>
  <pageMargins left="0.25" right="0.25" top="0.75" bottom="0.75" header="0.3" footer="0.3"/>
  <pageSetup paperSize="9" scale="73" orientation="landscape" r:id="rId1"/>
  <headerFooter>
    <oddHeader>&amp;LBilaga 3 till regeringsbeslut 2021-04-01 III 2</oddHeader>
    <oddFooter>&amp;RSida &amp;P av &amp;N</oddFooter>
  </headerFooter>
  <colBreaks count="2" manualBreakCount="2">
    <brk id="19" max="29" man="1"/>
    <brk id="32" max="29" man="1"/>
  </colBreaks>
  <ignoredErrors>
    <ignoredError sqref="N17:N18 N16 E21" formula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customXsn xmlns="http://schemas.microsoft.com/office/2006/metadata/customXsn">
  <xsnLocation/>
  <cached>True</cached>
  <openByDefault>False</openByDefault>
  <xsnScope/>
</customXsn>
</file>

<file path=customXml/item3.xml><?xml version="1.0" encoding="utf-8"?>
<?mso-contentType ?>
<SharedContentType xmlns="Microsoft.SharePoint.Taxonomy.ContentTypeSync" SourceId="d07acfae-4dfa-4949-99a8-259efd31a6ae" ContentTypeId="0x010100BBA312BF02777149882D207184EC35C032" PreviousValue="false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625d36-bb37-4650-91b9-0c96159295ba"/>
    <edbe0b5c82304c8e847ab7b8c02a77c3 xmlns="cc625d36-bb37-4650-91b9-0c96159295ba">
      <Terms xmlns="http://schemas.microsoft.com/office/infopath/2007/PartnerControls"/>
    </edbe0b5c82304c8e847ab7b8c02a77c3>
    <DirtyMigration xmlns="4e9c2f0c-7bf8-49af-8356-cbf363fc78a7">false</DirtyMigration>
    <k46d94c0acf84ab9a79866a9d8b1905f xmlns="cc625d36-bb37-4650-91b9-0c96159295ba">
      <Terms xmlns="http://schemas.microsoft.com/office/infopath/2007/PartnerControls"/>
    </k46d94c0acf84ab9a79866a9d8b1905f>
    <_dlc_DocId xmlns="eec14d05-b663-4c4f-ba9e-f91ce218b26b">JMV6WU277ZYR-1834298216-34007</_dlc_DocId>
    <_dlc_DocIdUrl xmlns="eec14d05-b663-4c4f-ba9e-f91ce218b26b">
      <Url>https://dhs.sp.regeringskansliet.se/yta/fi-ofa/sfo/_layouts/15/DocIdRedir.aspx?ID=JMV6WU277ZYR-1834298216-34007</Url>
      <Description>JMV6WU277ZYR-1834298216-34007</Description>
    </_dlc_DocIdUrl>
  </documentManagement>
</p:properti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RK Word" ma:contentTypeID="0x010100BBA312BF02777149882D207184EC35C03200CF5593F4490C0D4196725A57CBAFD07F" ma:contentTypeVersion="26" ma:contentTypeDescription="Skapa nytt dokument med möjlighet att välja RK-mall" ma:contentTypeScope="" ma:versionID="f0df4a3ee2461166535bd94367108adb">
  <xsd:schema xmlns:xsd="http://www.w3.org/2001/XMLSchema" xmlns:xs="http://www.w3.org/2001/XMLSchema" xmlns:p="http://schemas.microsoft.com/office/2006/metadata/properties" xmlns:ns2="4e9c2f0c-7bf8-49af-8356-cbf363fc78a7" xmlns:ns4="cc625d36-bb37-4650-91b9-0c96159295ba" xmlns:ns5="9c9941df-7074-4a92-bf99-225d24d78d61" xmlns:ns6="eec14d05-b663-4c4f-ba9e-f91ce218b26b" targetNamespace="http://schemas.microsoft.com/office/2006/metadata/properties" ma:root="true" ma:fieldsID="5bc56607b313810d5c3587c03b5982e3" ns2:_="" ns4:_="" ns5:_="" ns6:_="">
    <xsd:import namespace="4e9c2f0c-7bf8-49af-8356-cbf363fc78a7"/>
    <xsd:import namespace="cc625d36-bb37-4650-91b9-0c96159295ba"/>
    <xsd:import namespace="9c9941df-7074-4a92-bf99-225d24d78d61"/>
    <xsd:import namespace="eec14d05-b663-4c4f-ba9e-f91ce218b26b"/>
    <xsd:element name="properties">
      <xsd:complexType>
        <xsd:sequence>
          <xsd:element name="documentManagement">
            <xsd:complexType>
              <xsd:all>
                <xsd:element ref="ns2:DirtyMigration" minOccurs="0"/>
                <xsd:element ref="ns4:TaxCatchAllLabel" minOccurs="0"/>
                <xsd:element ref="ns4:k46d94c0acf84ab9a79866a9d8b1905f" minOccurs="0"/>
                <xsd:element ref="ns4:TaxCatchAll" minOccurs="0"/>
                <xsd:element ref="ns4:edbe0b5c82304c8e847ab7b8c02a77c3" minOccurs="0"/>
                <xsd:element ref="ns5:SharedWithUsers" minOccurs="0"/>
                <xsd:element ref="ns6:_dlc_DocId" minOccurs="0"/>
                <xsd:element ref="ns6:_dlc_DocIdUrl" minOccurs="0"/>
                <xsd:element ref="ns6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9c2f0c-7bf8-49af-8356-cbf363fc78a7" elementFormDefault="qualified">
    <xsd:import namespace="http://schemas.microsoft.com/office/2006/documentManagement/types"/>
    <xsd:import namespace="http://schemas.microsoft.com/office/infopath/2007/PartnerControls"/>
    <xsd:element name="DirtyMigration" ma:index="4" nillable="true" ma:displayName="Migrerad inte uppdaterad" ma:default="0" ma:internalName="DirtyMigration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25d36-bb37-4650-91b9-0c96159295ba" elementFormDefault="qualified">
    <xsd:import namespace="http://schemas.microsoft.com/office/2006/documentManagement/types"/>
    <xsd:import namespace="http://schemas.microsoft.com/office/infopath/2007/PartnerControls"/>
    <xsd:element name="TaxCatchAllLabel" ma:index="5" nillable="true" ma:displayName="Global taxonomikolumn1" ma:description="" ma:hidden="true" ma:list="{e1938cba-2959-43c3-a77f-283ab2a63118}" ma:internalName="TaxCatchAllLabel" ma:readOnly="true" ma:showField="CatchAllDataLabel" ma:web="4b1ee199-d7fd-46f7-a307-e08bcedd68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46d94c0acf84ab9a79866a9d8b1905f" ma:index="10" nillable="true" ma:taxonomy="true" ma:internalName="k46d94c0acf84ab9a79866a9d8b1905f" ma:taxonomyFieldName="Organisation" ma:displayName="Organisatorisk enhet" ma:default="" ma:fieldId="{446d94c0-acf8-4ab9-a798-66a9d8b1905f}" ma:sspId="d07acfae-4dfa-4949-99a8-259efd31a6ae" ma:termSetId="8c1436be-a8c9-4c8f-93bb-07dc2d5595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description="" ma:hidden="true" ma:list="{e1938cba-2959-43c3-a77f-283ab2a63118}" ma:internalName="TaxCatchAll" ma:showField="CatchAllData" ma:web="4b1ee199-d7fd-46f7-a307-e08bcedd68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dbe0b5c82304c8e847ab7b8c02a77c3" ma:index="13" nillable="true" ma:taxonomy="true" ma:internalName="edbe0b5c82304c8e847ab7b8c02a77c3" ma:taxonomyFieldName="ActivityCategory" ma:displayName="Aktivitetskategori" ma:default="" ma:fieldId="{edbe0b5c-8230-4c8e-847a-b7b8c02a77c3}" ma:sspId="d07acfae-4dfa-4949-99a8-259efd31a6ae" ma:termSetId="8bf97125-e7b6-456b-9da4-c0e62cf3e5a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9941df-7074-4a92-bf99-225d24d78d6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a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14d05-b663-4c4f-ba9e-f91ce218b26b" elementFormDefault="qualified">
    <xsd:import namespace="http://schemas.microsoft.com/office/2006/documentManagement/types"/>
    <xsd:import namespace="http://schemas.microsoft.com/office/infopath/2007/PartnerControls"/>
    <xsd:element name="_dlc_DocId" ma:index="16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17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8" nillable="true" ma:displayName="Spara ID" ma:description="Behåll ID vid tillägg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Innehållstyp"/>
        <xsd:element ref="dc:title" minOccurs="0" maxOccurs="1" ma:index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598A73B-AE04-440F-98EE-22473E716DE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EDB698-98B2-4C6F-9978-456290C38CC5}">
  <ds:schemaRefs>
    <ds:schemaRef ds:uri="http://schemas.microsoft.com/office/2006/metadata/customXsn"/>
  </ds:schemaRefs>
</ds:datastoreItem>
</file>

<file path=customXml/itemProps3.xml><?xml version="1.0" encoding="utf-8"?>
<ds:datastoreItem xmlns:ds="http://schemas.openxmlformats.org/officeDocument/2006/customXml" ds:itemID="{31C9F119-DDE5-4C6B-92D1-D2DDDD05CD73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9B8D2156-5A19-4662-9644-6C41E2DC58EE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9c9941df-7074-4a92-bf99-225d24d78d61"/>
    <ds:schemaRef ds:uri="http://purl.org/dc/elements/1.1/"/>
    <ds:schemaRef ds:uri="http://schemas.microsoft.com/office/2006/metadata/properties"/>
    <ds:schemaRef ds:uri="cc625d36-bb37-4650-91b9-0c96159295ba"/>
    <ds:schemaRef ds:uri="eec14d05-b663-4c4f-ba9e-f91ce218b26b"/>
    <ds:schemaRef ds:uri="4e9c2f0c-7bf8-49af-8356-cbf363fc78a7"/>
    <ds:schemaRef ds:uri="http://www.w3.org/XML/1998/namespace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B4155EEB-5342-4142-9898-5E614F8336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9c2f0c-7bf8-49af-8356-cbf363fc78a7"/>
    <ds:schemaRef ds:uri="cc625d36-bb37-4650-91b9-0c96159295ba"/>
    <ds:schemaRef ds:uri="9c9941df-7074-4a92-bf99-225d24d78d61"/>
    <ds:schemaRef ds:uri="eec14d05-b663-4c4f-ba9e-f91ce218b2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6.xml><?xml version="1.0" encoding="utf-8"?>
<ds:datastoreItem xmlns:ds="http://schemas.openxmlformats.org/officeDocument/2006/customXml" ds:itemID="{FBD4E00C-7B53-40BD-97D9-B767AA24BF5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2</vt:i4>
      </vt:variant>
    </vt:vector>
  </HeadingPairs>
  <TitlesOfParts>
    <vt:vector size="4" baseType="lpstr">
      <vt:lpstr>Översikt fördelning</vt:lpstr>
      <vt:lpstr>Riktade medel och parametrar</vt:lpstr>
      <vt:lpstr>'Riktade medel och parametrar'!Utskriftsområde</vt:lpstr>
      <vt:lpstr>'Översikt fördelning'!Utskriftsområde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Julia Hagberg</dc:creator>
  <cp:keywords/>
  <dc:description/>
  <cp:lastModifiedBy>Julia Hagberg</cp:lastModifiedBy>
  <cp:revision/>
  <cp:lastPrinted>2021-04-12T14:20:52Z</cp:lastPrinted>
  <dcterms:created xsi:type="dcterms:W3CDTF">2020-10-23T14:25:55Z</dcterms:created>
  <dcterms:modified xsi:type="dcterms:W3CDTF">2021-04-12T14:20:57Z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0x010100BBA312BF02777149882D207184EC35C03200CF5593F4490C0D4196725A57CBAFD07F</vt:lpwstr>
  </property>
  <property fmtid="{D5CDD505-2E9C-101B-9397-08002B2CF9AE}" pid="3" name="Organisation">
    <vt:lpwstr/>
  </property>
  <property fmtid="{D5CDD505-2E9C-101B-9397-08002B2CF9AE}" pid="4" name="ActivityCategory">
    <vt:lpwstr/>
  </property>
  <property fmtid="{D5CDD505-2E9C-101B-9397-08002B2CF9AE}" pid="5" name="_dlc_DocIdItemGuid">
    <vt:lpwstr>be50b49f-bb8a-4601-a697-262a4adc5efd</vt:lpwstr>
  </property>
</Properties>
</file>