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Fördelningsmodellen/Till Hermes/"/>
    </mc:Choice>
  </mc:AlternateContent>
  <xr:revisionPtr revIDLastSave="0" documentId="13_ncr:1_{1F894A67-FAD4-49A9-98F9-3D5C1DDDDFB3}" xr6:coauthVersionLast="45" xr6:coauthVersionMax="45" xr10:uidLastSave="{00000000-0000-0000-0000-000000000000}"/>
  <bookViews>
    <workbookView xWindow="-120" yWindow="-120" windowWidth="29040" windowHeight="15840" tabRatio="694" activeTab="1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parametrar'!$A$1:$AQ$30</definedName>
    <definedName name="_xlnm.Print_Area" localSheetId="0">'Översikt fördelning'!$A$1:$F$33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8" i="2" l="1"/>
  <c r="AL20" i="2" l="1"/>
  <c r="C20" i="4" l="1"/>
  <c r="AK27" i="2" l="1"/>
  <c r="AK26" i="2" l="1"/>
  <c r="AQ28" i="2" l="1"/>
  <c r="AL28" i="2"/>
  <c r="O28" i="2"/>
  <c r="B20" i="2"/>
  <c r="T27" i="2" l="1"/>
  <c r="S27" i="2"/>
  <c r="T26" i="2"/>
  <c r="S26" i="2"/>
  <c r="T25" i="2"/>
  <c r="S25" i="2"/>
  <c r="R25" i="2"/>
  <c r="T24" i="2"/>
  <c r="S24" i="2"/>
  <c r="R24" i="2"/>
  <c r="T23" i="2"/>
  <c r="S23" i="2"/>
  <c r="R23" i="2"/>
  <c r="T22" i="2"/>
  <c r="S22" i="2"/>
  <c r="R22" i="2"/>
  <c r="T21" i="2"/>
  <c r="S21" i="2"/>
  <c r="R21" i="2"/>
  <c r="T20" i="2"/>
  <c r="S20" i="2"/>
  <c r="R20" i="2"/>
  <c r="T19" i="2"/>
  <c r="S19" i="2"/>
  <c r="R19" i="2"/>
  <c r="T18" i="2"/>
  <c r="S18" i="2"/>
  <c r="T17" i="2"/>
  <c r="S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C18" i="2"/>
  <c r="C16" i="2"/>
  <c r="T28" i="2" l="1"/>
  <c r="R28" i="2"/>
  <c r="S28" i="2"/>
  <c r="C28" i="2"/>
  <c r="B7" i="2"/>
  <c r="B18" i="2"/>
  <c r="B28" i="2" l="1"/>
  <c r="N28" i="2"/>
  <c r="AK8" i="2" l="1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7" i="2"/>
  <c r="AK28" i="2" l="1"/>
  <c r="M27" i="2"/>
  <c r="M18" i="2"/>
  <c r="M16" i="2"/>
  <c r="M7" i="2"/>
  <c r="L27" i="2" l="1"/>
  <c r="L23" i="2"/>
  <c r="L18" i="2"/>
  <c r="L16" i="2"/>
  <c r="L7" i="2"/>
  <c r="K20" i="2"/>
  <c r="K21" i="2"/>
  <c r="K22" i="2"/>
  <c r="K23" i="2"/>
  <c r="K24" i="2"/>
  <c r="K25" i="2"/>
  <c r="K26" i="2"/>
  <c r="K27" i="2"/>
  <c r="K19" i="2"/>
  <c r="K18" i="2"/>
  <c r="K17" i="2"/>
  <c r="K16" i="2"/>
  <c r="K10" i="2"/>
  <c r="K11" i="2"/>
  <c r="P11" i="2" s="1"/>
  <c r="AJ11" i="2" s="1"/>
  <c r="K12" i="2"/>
  <c r="P12" i="2" s="1"/>
  <c r="K13" i="2"/>
  <c r="K14" i="2"/>
  <c r="K15" i="2"/>
  <c r="K9" i="2"/>
  <c r="K8" i="2"/>
  <c r="K7" i="2"/>
  <c r="J27" i="2"/>
  <c r="J24" i="2"/>
  <c r="J18" i="2"/>
  <c r="I27" i="2"/>
  <c r="I26" i="2"/>
  <c r="I24" i="2"/>
  <c r="I23" i="2"/>
  <c r="I18" i="2"/>
  <c r="I17" i="2"/>
  <c r="I16" i="2"/>
  <c r="I15" i="2"/>
  <c r="I14" i="2"/>
  <c r="P14" i="2" s="1"/>
  <c r="I13" i="2"/>
  <c r="P13" i="2" s="1"/>
  <c r="I10" i="2"/>
  <c r="I9" i="2"/>
  <c r="I8" i="2"/>
  <c r="I7" i="2"/>
  <c r="H16" i="2"/>
  <c r="H15" i="2"/>
  <c r="G18" i="2"/>
  <c r="G16" i="2"/>
  <c r="G7" i="2"/>
  <c r="F27" i="2"/>
  <c r="F26" i="2"/>
  <c r="F25" i="2"/>
  <c r="E27" i="2"/>
  <c r="E26" i="2"/>
  <c r="E24" i="2"/>
  <c r="E25" i="2"/>
  <c r="E23" i="2"/>
  <c r="E22" i="2"/>
  <c r="E21" i="2"/>
  <c r="E20" i="2"/>
  <c r="E19" i="2"/>
  <c r="E18" i="2"/>
  <c r="E8" i="2"/>
  <c r="D25" i="2"/>
  <c r="D26" i="2"/>
  <c r="D27" i="2"/>
  <c r="P20" i="2" l="1"/>
  <c r="P21" i="2"/>
  <c r="AJ21" i="2" s="1"/>
  <c r="P17" i="2"/>
  <c r="P26" i="2"/>
  <c r="P23" i="2"/>
  <c r="P10" i="2"/>
  <c r="AJ10" i="2" s="1"/>
  <c r="P16" i="2"/>
  <c r="P24" i="2"/>
  <c r="P19" i="2"/>
  <c r="P7" i="2"/>
  <c r="P25" i="2"/>
  <c r="P8" i="2"/>
  <c r="AJ8" i="2" s="1"/>
  <c r="P15" i="2"/>
  <c r="P18" i="2"/>
  <c r="P27" i="2"/>
  <c r="P22" i="2"/>
  <c r="P9" i="2"/>
  <c r="M28" i="2" l="1"/>
  <c r="AM28" i="2" l="1"/>
  <c r="B26" i="4" l="1"/>
  <c r="AA28" i="2"/>
  <c r="Z28" i="2"/>
  <c r="Y28" i="2"/>
  <c r="X28" i="2"/>
  <c r="W28" i="2"/>
  <c r="H28" i="2" l="1"/>
  <c r="F28" i="2"/>
  <c r="G28" i="2"/>
  <c r="J28" i="2"/>
  <c r="E28" i="2"/>
  <c r="D28" i="2"/>
  <c r="K28" i="2"/>
  <c r="L28" i="2"/>
  <c r="I28" i="2"/>
  <c r="P28" i="2" l="1"/>
  <c r="AJ7" i="2"/>
  <c r="AJ25" i="2"/>
  <c r="AJ9" i="2"/>
  <c r="AJ20" i="2"/>
  <c r="AJ13" i="2"/>
  <c r="AJ12" i="2"/>
  <c r="AJ23" i="2"/>
  <c r="AJ16" i="2"/>
  <c r="AJ17" i="2"/>
  <c r="AJ15" i="2"/>
  <c r="AJ27" i="2"/>
  <c r="AJ19" i="2"/>
  <c r="AJ22" i="2"/>
  <c r="AJ14" i="2"/>
  <c r="AJ26" i="2"/>
  <c r="AJ24" i="2"/>
  <c r="AJ18" i="2"/>
  <c r="AJ28" i="2" l="1"/>
  <c r="C30" i="4" l="1"/>
  <c r="AE10" i="2" s="1"/>
  <c r="C27" i="4"/>
  <c r="C31" i="4"/>
  <c r="AF13" i="2" s="1"/>
  <c r="C28" i="4"/>
  <c r="AC17" i="2" s="1"/>
  <c r="C29" i="4"/>
  <c r="AB21" i="2" l="1"/>
  <c r="AB7" i="2"/>
  <c r="AE25" i="2"/>
  <c r="AE26" i="2"/>
  <c r="AE18" i="2"/>
  <c r="AB27" i="2"/>
  <c r="AB9" i="2"/>
  <c r="AB19" i="2"/>
  <c r="AB8" i="2"/>
  <c r="AB10" i="2"/>
  <c r="AE27" i="2"/>
  <c r="AE19" i="2"/>
  <c r="AE20" i="2"/>
  <c r="AC19" i="2"/>
  <c r="AB11" i="2"/>
  <c r="AE9" i="2"/>
  <c r="AB18" i="2"/>
  <c r="AE24" i="2"/>
  <c r="AE17" i="2"/>
  <c r="AE23" i="2"/>
  <c r="AB15" i="2"/>
  <c r="AB17" i="2"/>
  <c r="AE16" i="2"/>
  <c r="AE21" i="2"/>
  <c r="AB20" i="2"/>
  <c r="AB26" i="2"/>
  <c r="AB25" i="2"/>
  <c r="AE11" i="2"/>
  <c r="AE13" i="2"/>
  <c r="AB13" i="2"/>
  <c r="AB23" i="2"/>
  <c r="AE12" i="2"/>
  <c r="AE7" i="2"/>
  <c r="AB12" i="2"/>
  <c r="AE15" i="2"/>
  <c r="AE8" i="2"/>
  <c r="AB16" i="2"/>
  <c r="AB24" i="2"/>
  <c r="AE22" i="2"/>
  <c r="AE14" i="2"/>
  <c r="AB22" i="2"/>
  <c r="AC15" i="2"/>
  <c r="AC12" i="2"/>
  <c r="AC18" i="2"/>
  <c r="AC11" i="2"/>
  <c r="AB14" i="2"/>
  <c r="AF26" i="2"/>
  <c r="AF16" i="2"/>
  <c r="AF25" i="2"/>
  <c r="AF27" i="2"/>
  <c r="AF9" i="2"/>
  <c r="AC7" i="2"/>
  <c r="AF19" i="2"/>
  <c r="AF23" i="2"/>
  <c r="AF18" i="2"/>
  <c r="AF20" i="2"/>
  <c r="AF22" i="2"/>
  <c r="AF21" i="2"/>
  <c r="AC27" i="2"/>
  <c r="AF10" i="2"/>
  <c r="AF14" i="2"/>
  <c r="AF11" i="2"/>
  <c r="AF17" i="2"/>
  <c r="AF24" i="2"/>
  <c r="AF12" i="2"/>
  <c r="AF7" i="2"/>
  <c r="AC23" i="2"/>
  <c r="AF8" i="2"/>
  <c r="AF15" i="2"/>
  <c r="AC25" i="2"/>
  <c r="AC21" i="2"/>
  <c r="AC9" i="2"/>
  <c r="AC16" i="2"/>
  <c r="AC10" i="2"/>
  <c r="AC24" i="2"/>
  <c r="AC8" i="2"/>
  <c r="AC13" i="2"/>
  <c r="AC26" i="2"/>
  <c r="AC14" i="2"/>
  <c r="AC22" i="2"/>
  <c r="AC20" i="2"/>
  <c r="AD13" i="2"/>
  <c r="AD20" i="2"/>
  <c r="AD7" i="2"/>
  <c r="AD23" i="2"/>
  <c r="AD14" i="2"/>
  <c r="AD16" i="2"/>
  <c r="AD8" i="2"/>
  <c r="AD9" i="2"/>
  <c r="AD21" i="2"/>
  <c r="AD22" i="2"/>
  <c r="AD15" i="2"/>
  <c r="AD17" i="2"/>
  <c r="AD26" i="2"/>
  <c r="AD19" i="2"/>
  <c r="AD18" i="2"/>
  <c r="AD11" i="2"/>
  <c r="AD12" i="2"/>
  <c r="AD27" i="2"/>
  <c r="AD24" i="2"/>
  <c r="AD10" i="2"/>
  <c r="AD25" i="2"/>
  <c r="C26" i="4"/>
  <c r="AG16" i="2" l="1"/>
  <c r="AN16" i="2" s="1"/>
  <c r="AO16" i="2" s="1"/>
  <c r="AE28" i="2"/>
  <c r="AG17" i="2"/>
  <c r="AN17" i="2" s="1"/>
  <c r="AO17" i="2" s="1"/>
  <c r="AB28" i="2"/>
  <c r="AG19" i="2"/>
  <c r="AN19" i="2" s="1"/>
  <c r="AO19" i="2" s="1"/>
  <c r="AF28" i="2"/>
  <c r="AG21" i="2"/>
  <c r="AN21" i="2" s="1"/>
  <c r="AO21" i="2" s="1"/>
  <c r="AG12" i="2"/>
  <c r="AN12" i="2" s="1"/>
  <c r="AO12" i="2" s="1"/>
  <c r="AC28" i="2"/>
  <c r="AG9" i="2"/>
  <c r="AG18" i="2"/>
  <c r="AN18" i="2" s="1"/>
  <c r="AO18" i="2" s="1"/>
  <c r="AG8" i="2"/>
  <c r="AN8" i="2" s="1"/>
  <c r="AO8" i="2" s="1"/>
  <c r="AG13" i="2"/>
  <c r="AN13" i="2" s="1"/>
  <c r="AG26" i="2"/>
  <c r="AN26" i="2" s="1"/>
  <c r="AO26" i="2" s="1"/>
  <c r="AG23" i="2"/>
  <c r="AN23" i="2" s="1"/>
  <c r="AO23" i="2" s="1"/>
  <c r="AG14" i="2"/>
  <c r="AN14" i="2" s="1"/>
  <c r="AO14" i="2" s="1"/>
  <c r="AG24" i="2"/>
  <c r="AN24" i="2" s="1"/>
  <c r="AO24" i="2" s="1"/>
  <c r="AG15" i="2"/>
  <c r="AN15" i="2" s="1"/>
  <c r="AO15" i="2" s="1"/>
  <c r="AG7" i="2"/>
  <c r="AN7" i="2" s="1"/>
  <c r="AO7" i="2" s="1"/>
  <c r="AG11" i="2"/>
  <c r="AG25" i="2"/>
  <c r="AN25" i="2" s="1"/>
  <c r="AO25" i="2" s="1"/>
  <c r="AG10" i="2"/>
  <c r="AN10" i="2" s="1"/>
  <c r="AG27" i="2"/>
  <c r="AN27" i="2" s="1"/>
  <c r="AO27" i="2" s="1"/>
  <c r="AG22" i="2"/>
  <c r="AN22" i="2" s="1"/>
  <c r="AO22" i="2" s="1"/>
  <c r="AG20" i="2"/>
  <c r="AN20" i="2" s="1"/>
  <c r="AO20" i="2" s="1"/>
  <c r="AD28" i="2"/>
  <c r="AN11" i="2" l="1"/>
  <c r="AO11" i="2" s="1"/>
  <c r="AN9" i="2"/>
  <c r="AO9" i="2" s="1"/>
  <c r="AO13" i="2"/>
  <c r="AO10" i="2"/>
  <c r="AG28" i="2"/>
  <c r="AO28" i="2" l="1"/>
  <c r="AP18" i="2" s="1"/>
  <c r="AN28" i="2"/>
  <c r="AP26" i="2" l="1"/>
  <c r="AP11" i="2"/>
  <c r="AP14" i="2"/>
  <c r="AP13" i="2"/>
  <c r="AP22" i="2"/>
  <c r="AP10" i="2"/>
  <c r="AP15" i="2"/>
  <c r="AP16" i="2"/>
  <c r="AP23" i="2"/>
  <c r="AP20" i="2"/>
  <c r="AP25" i="2"/>
  <c r="AP12" i="2"/>
  <c r="AP21" i="2"/>
  <c r="AP19" i="2"/>
  <c r="AP9" i="2"/>
  <c r="AP8" i="2"/>
  <c r="AP27" i="2"/>
  <c r="AP17" i="2"/>
  <c r="AP24" i="2"/>
  <c r="AP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tc={93361EE0-AF32-4976-B862-9855EE446018}</author>
    <author>tc={A7E2805D-136C-4E15-BD75-61FA81B677BB}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</t>
      </text>
    </comment>
    <comment ref="B19" authorId="4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  <comment ref="B20" authorId="5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</t>
      </text>
    </comment>
  </commentList>
</comments>
</file>

<file path=xl/sharedStrings.xml><?xml version="1.0" encoding="utf-8"?>
<sst xmlns="http://schemas.openxmlformats.org/spreadsheetml/2006/main" count="159" uniqueCount="95">
  <si>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</si>
  <si>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</si>
  <si>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</si>
  <si>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</si>
  <si>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</si>
  <si>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</si>
  <si>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</si>
  <si>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</si>
  <si>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</si>
  <si>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</si>
  <si>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</si>
  <si>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</si>
  <si>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</si>
  <si>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</si>
  <si>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</si>
  <si>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</si>
  <si>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</si>
  <si>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</si>
  <si>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</si>
  <si>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</si>
  <si>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</si>
  <si>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</si>
  <si>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</si>
  <si>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</si>
  <si>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</si>
  <si>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</si>
  <si>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</si>
  <si>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</si>
  <si>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</si>
  <si>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</si>
  <si>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</si>
  <si>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</si>
  <si>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</si>
  <si>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</si>
  <si>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</si>
  <si>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</si>
  <si>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</si>
  <si>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</si>
  <si>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</si>
  <si>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</si>
  <si>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</si>
  <si>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</si>
  <si>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</si>
  <si>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</si>
  <si>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</si>
  <si>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</si>
  <si>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</si>
  <si>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</si>
  <si>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</si>
  <si>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</si>
  <si>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</si>
  <si>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</si>
  <si>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</si>
  <si>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</si>
  <si>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</si>
  <si>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</si>
  <si>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</si>
  <si>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</si>
  <si>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</si>
  <si>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</si>
  <si>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</si>
  <si>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</si>
  <si>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</si>
  <si>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</si>
  <si>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</si>
  <si>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</si>
  <si>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</si>
  <si>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</si>
  <si>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</si>
  <si>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</si>
  <si>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</si>
  <si>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</si>
  <si>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</si>
  <si>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</si>
  <si>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</si>
  <si>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</si>
  <si>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</si>
  <si>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</si>
  <si>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</si>
  <si>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Anmärkning</t>
  </si>
  <si>
    <t>Tillsyn maa säk.skydds-lagen</t>
  </si>
  <si>
    <t xml:space="preserve">Utbildningsinsats informationssäkerhet, Uppsala </t>
  </si>
  <si>
    <t>42,96 mnkr/länsstyrelse</t>
  </si>
  <si>
    <t>Infasning fördelnings-modell  (1/3)</t>
  </si>
  <si>
    <t>Tillsyn maa den tillfälliga covid-19 lagen, Örebro</t>
  </si>
  <si>
    <t>Överföring  regionalt utvecklingsansvar</t>
  </si>
  <si>
    <t>Riktade medel till en länsstyrelse</t>
  </si>
  <si>
    <t>KONCENTRATION</t>
  </si>
  <si>
    <t>Motv. penningtvätt och fin. av terrorism</t>
  </si>
  <si>
    <t>Samordning mäns våld mot kvinnor, Östergötland</t>
  </si>
  <si>
    <t>Ap 26 Utvecklingsinsatser m.m., Örebro</t>
  </si>
  <si>
    <t>Uppdrag om kemikalier för dricksvattenförsörjn. och avloppsrening, Örebro</t>
  </si>
  <si>
    <t>Anslag 5:1 Länsstyrelserna m.m., 2022</t>
  </si>
  <si>
    <t>Fördelning Anslag 5:1 Länsstyrelserna m.m. per länsstyrelse - Riktade medel och koncentration</t>
  </si>
  <si>
    <t>Fördelning anslag 5:1 Länsstyrelserna m.m. för 2022 - Översikt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</si>
</sst>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###\ ###\ ###\ ##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FFFF"/>
      <name val="Calibri"/>
      <family val="2"/>
      <scheme val="minor"/>
    </font>
    <font>
      <sz val="13.3"/>
      <color rgb="FFFFFFFF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5" fillId="0" borderId="0"/>
  </cellStyleXfs>
  <cellXfs count="188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6" fillId="4" borderId="0" xfId="2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" fillId="2" borderId="14" xfId="2" applyFill="1" applyBorder="1" applyAlignment="1">
      <alignment horizontal="left"/>
    </xf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 vertical="top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10" fontId="3" fillId="2" borderId="15" xfId="2" applyNumberFormat="1" applyFont="1" applyFill="1" applyBorder="1" applyAlignment="1">
      <alignment horizontal="right"/>
    </xf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8" fillId="2" borderId="4" xfId="3" applyFont="1" applyFill="1" applyBorder="1"/>
    <xf numFmtId="3" fontId="8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8" fillId="3" borderId="11" xfId="2" applyFont="1" applyFill="1" applyBorder="1" applyAlignment="1">
      <alignment horizontal="center" wrapText="1"/>
    </xf>
    <xf numFmtId="0" fontId="8" fillId="3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3" borderId="16" xfId="2" applyFont="1" applyFill="1" applyBorder="1" applyAlignment="1">
      <alignment horizontal="left" vertical="top"/>
    </xf>
    <xf numFmtId="0" fontId="8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9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3" fontId="21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wrapText="1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3" fontId="8" fillId="3" borderId="6" xfId="2" applyNumberFormat="1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8" fillId="3" borderId="16" xfId="2" applyFont="1" applyFill="1" applyBorder="1" applyAlignment="1">
      <alignment horizontal="center" vertical="top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2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8" xfId="2" applyFont="1" applyFill="1" applyBorder="1" applyAlignment="1">
      <alignment horizontal="left" vertical="top"/>
    </xf>
    <xf numFmtId="3" fontId="3" fillId="2" borderId="6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3" borderId="12" xfId="2" applyFont="1" applyFill="1" applyBorder="1" applyAlignment="1">
      <alignment horizontal="center" wrapText="1"/>
    </xf>
    <xf numFmtId="0" fontId="8" fillId="3" borderId="21" xfId="2" applyFont="1" applyFill="1" applyBorder="1" applyAlignment="1">
      <alignment horizontal="left" vertical="top"/>
    </xf>
    <xf numFmtId="3" fontId="3" fillId="2" borderId="15" xfId="2" applyNumberFormat="1" applyFont="1" applyFill="1" applyBorder="1" applyAlignment="1">
      <alignment horizontal="right"/>
    </xf>
    <xf numFmtId="0" fontId="8" fillId="3" borderId="16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vertical="center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1" fontId="8" fillId="3" borderId="3" xfId="2" applyNumberFormat="1" applyFont="1" applyFill="1" applyBorder="1" applyAlignment="1">
      <alignment horizontal="center" wrapText="1"/>
    </xf>
    <xf numFmtId="9" fontId="8" fillId="3" borderId="7" xfId="2" applyNumberFormat="1" applyFont="1" applyFill="1" applyBorder="1" applyAlignment="1">
      <alignment horizontal="right"/>
    </xf>
    <xf numFmtId="3" fontId="2" fillId="2" borderId="0" xfId="2" applyNumberFormat="1" applyFont="1" applyFill="1" applyAlignment="1">
      <alignment horizontal="right"/>
    </xf>
    <xf numFmtId="3" fontId="6" fillId="4" borderId="0" xfId="2" applyNumberFormat="1" applyFont="1" applyFill="1" applyAlignment="1">
      <alignment horizontal="right"/>
    </xf>
    <xf numFmtId="0" fontId="2" fillId="2" borderId="13" xfId="2" applyFill="1" applyBorder="1" applyAlignment="1">
      <alignment horizontal="left"/>
    </xf>
    <xf numFmtId="10" fontId="3" fillId="2" borderId="11" xfId="3" applyNumberFormat="1" applyFont="1" applyFill="1" applyBorder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3" fontId="8" fillId="2" borderId="6" xfId="2" applyNumberFormat="1" applyFont="1" applyFill="1" applyBorder="1" applyAlignment="1">
      <alignment horizontal="right"/>
    </xf>
    <xf numFmtId="0" fontId="0" fillId="0" borderId="0" xfId="0" applyFill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</cellXfs>
  <cellStyles count="6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</text>
  </threadedComment>
  <threadedComment ref="B19" dT="2021-11-04T12:14:51.03" personId="{3ACF1590-AB17-44F5-B6D4-3ABE2C93D5AA}" id="{93361EE0-AF32-4976-B862-9855EE446018}">
    <text>Samordning flyktingmott./etabl. (Ej PLO)</text>
  </threadedComment>
  <threadedComment ref="B20" dT="2021-11-04T12:14:15.34" personId="{3ACF1590-AB17-44F5-B6D4-3ABE2C93D5AA}" id="{A7E2805D-136C-4E15-BD75-61FA81B677BB}">
    <text>Kampsport 2010 (PLO) + Djufrågor BP18 (PLO) + SEVESO-verksamheten (PLO)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H47"/>
  <sheetViews>
    <sheetView zoomScaleNormal="100" workbookViewId="0">
      <selection activeCell="J19" sqref="J19"/>
    </sheetView>
  </sheetViews>
  <sheetFormatPr defaultRowHeight="15"/>
  <cols>
    <col min="1" max="1" width="51.28515625" style="25" customWidth="1"/>
    <col min="2" max="2" width="13.7109375" style="25" customWidth="1"/>
    <col min="3" max="3" width="19.5703125" style="25" customWidth="1"/>
    <col min="4" max="5" width="24.140625" style="25" customWidth="1"/>
    <col min="6" max="6" width="9.140625" style="25" customWidth="1"/>
    <col min="7" max="7" width="9.28515625" style="25" bestFit="1" customWidth="1"/>
    <col min="8" max="8" width="12" style="25" bestFit="1" customWidth="1"/>
    <col min="9" max="16384" width="9.140625" style="25"/>
  </cols>
  <sheetData>
    <row r="1" spans="1:8" ht="23.25">
      <c r="A1" s="23" t="s">
        <v>94</v>
      </c>
      <c r="B1" s="24"/>
      <c r="C1" s="24"/>
      <c r="D1" s="24"/>
      <c r="E1" s="24"/>
    </row>
    <row r="2" spans="1:8">
      <c r="A2" s="24"/>
      <c r="B2" s="24"/>
      <c r="C2" s="24"/>
      <c r="D2" s="24"/>
      <c r="E2" s="24"/>
    </row>
    <row r="3" spans="1:8" ht="15.75">
      <c r="A3" s="6" t="s">
        <v>92</v>
      </c>
      <c r="B3" s="6"/>
      <c r="C3" s="154">
        <v>3493121</v>
      </c>
      <c r="D3" s="96" t="s">
        <v>79</v>
      </c>
      <c r="E3" s="114"/>
    </row>
    <row r="4" spans="1:8">
      <c r="A4" s="26" t="s">
        <v>0</v>
      </c>
      <c r="B4" s="24"/>
      <c r="C4" s="24"/>
      <c r="D4" s="28"/>
      <c r="E4" s="110"/>
    </row>
    <row r="5" spans="1:8">
      <c r="A5" s="168" t="s">
        <v>90</v>
      </c>
      <c r="B5" s="173"/>
      <c r="C5" s="27">
        <v>-900</v>
      </c>
      <c r="D5" s="28"/>
      <c r="E5" s="110"/>
      <c r="H5" s="109"/>
    </row>
    <row r="6" spans="1:8">
      <c r="A6" s="168" t="s">
        <v>1</v>
      </c>
      <c r="B6" s="169"/>
      <c r="C6" s="27">
        <v>-146772.89045670134</v>
      </c>
      <c r="D6" s="97"/>
      <c r="E6" s="111"/>
      <c r="F6" s="165"/>
      <c r="H6" s="109"/>
    </row>
    <row r="7" spans="1:8">
      <c r="A7" s="168" t="s">
        <v>2</v>
      </c>
      <c r="B7" s="169"/>
      <c r="C7" s="27">
        <v>-902139</v>
      </c>
      <c r="D7" s="98" t="s">
        <v>82</v>
      </c>
      <c r="E7" s="122"/>
      <c r="H7" s="109"/>
    </row>
    <row r="8" spans="1:8">
      <c r="A8" s="168" t="s">
        <v>3</v>
      </c>
      <c r="B8" s="169"/>
      <c r="C8" s="100">
        <v>-30000</v>
      </c>
      <c r="D8" s="44"/>
      <c r="E8" s="112"/>
      <c r="H8" s="109"/>
    </row>
    <row r="9" spans="1:8" ht="15.75" customHeight="1">
      <c r="A9" s="168" t="s">
        <v>4</v>
      </c>
      <c r="B9" s="169"/>
      <c r="C9" s="27">
        <v>-1000</v>
      </c>
      <c r="D9" s="44"/>
      <c r="E9" s="112"/>
      <c r="H9" s="109"/>
    </row>
    <row r="10" spans="1:8">
      <c r="A10" s="170" t="s">
        <v>73</v>
      </c>
      <c r="B10" s="172"/>
      <c r="C10" s="153">
        <v>-5000</v>
      </c>
      <c r="D10" s="44"/>
      <c r="E10" s="112"/>
      <c r="H10" s="109"/>
    </row>
    <row r="11" spans="1:8">
      <c r="A11" s="170" t="s">
        <v>74</v>
      </c>
      <c r="B11" s="171"/>
      <c r="C11" s="153">
        <v>-5000</v>
      </c>
      <c r="D11" s="44"/>
      <c r="E11" s="112"/>
      <c r="H11" s="109"/>
    </row>
    <row r="12" spans="1:8">
      <c r="A12" s="170" t="s">
        <v>89</v>
      </c>
      <c r="B12" s="172"/>
      <c r="C12" s="153">
        <v>-2600</v>
      </c>
      <c r="D12" s="44"/>
      <c r="E12" s="112"/>
      <c r="H12" s="109"/>
    </row>
    <row r="13" spans="1:8">
      <c r="A13" s="170" t="s">
        <v>78</v>
      </c>
      <c r="B13" s="172"/>
      <c r="C13" s="153">
        <v>-800</v>
      </c>
      <c r="D13" s="44"/>
      <c r="E13" s="112"/>
      <c r="H13" s="109"/>
    </row>
    <row r="14" spans="1:8">
      <c r="A14" s="170" t="s">
        <v>75</v>
      </c>
      <c r="B14" s="172"/>
      <c r="C14" s="153">
        <v>-400</v>
      </c>
      <c r="D14" s="44"/>
      <c r="E14" s="112"/>
      <c r="H14" s="109"/>
    </row>
    <row r="15" spans="1:8">
      <c r="A15" s="170" t="s">
        <v>77</v>
      </c>
      <c r="B15" s="172"/>
      <c r="C15" s="153">
        <v>-600</v>
      </c>
      <c r="D15" s="44"/>
      <c r="E15" s="112"/>
      <c r="H15" s="109"/>
    </row>
    <row r="16" spans="1:8">
      <c r="A16" s="170" t="s">
        <v>76</v>
      </c>
      <c r="B16" s="172"/>
      <c r="C16" s="153">
        <v>-400</v>
      </c>
      <c r="D16" s="44"/>
      <c r="E16" s="112"/>
      <c r="H16" s="109"/>
    </row>
    <row r="17" spans="1:8">
      <c r="A17" s="170" t="s">
        <v>81</v>
      </c>
      <c r="B17" s="172"/>
      <c r="C17" s="153">
        <v>-100</v>
      </c>
      <c r="D17" s="44"/>
      <c r="E17" s="155"/>
      <c r="F17" s="143"/>
      <c r="H17" s="109"/>
    </row>
    <row r="18" spans="1:8">
      <c r="A18" s="170" t="s">
        <v>84</v>
      </c>
      <c r="B18" s="172"/>
      <c r="C18" s="153">
        <v>-20200</v>
      </c>
      <c r="D18" s="44"/>
      <c r="E18" s="155"/>
      <c r="H18" s="109"/>
    </row>
    <row r="19" spans="1:8">
      <c r="A19" s="170" t="s">
        <v>91</v>
      </c>
      <c r="B19" s="172"/>
      <c r="C19" s="153">
        <v>-10500</v>
      </c>
      <c r="D19" s="44"/>
      <c r="E19" s="112"/>
      <c r="H19" s="109"/>
    </row>
    <row r="20" spans="1:8" ht="15.75" thickBot="1">
      <c r="A20" s="29" t="s">
        <v>5</v>
      </c>
      <c r="B20" s="30"/>
      <c r="C20" s="31">
        <f>SUM(C3:C19)</f>
        <v>2366709.1095432988</v>
      </c>
      <c r="D20" s="32"/>
      <c r="E20" s="112"/>
      <c r="F20" s="109"/>
      <c r="H20" s="109"/>
    </row>
    <row r="21" spans="1:8">
      <c r="A21" s="45" t="s">
        <v>6</v>
      </c>
      <c r="B21" s="33"/>
      <c r="C21" s="33"/>
      <c r="D21" s="33"/>
      <c r="E21" s="113"/>
      <c r="H21" s="109"/>
    </row>
    <row r="22" spans="1:8">
      <c r="A22" s="46"/>
      <c r="B22" s="2"/>
      <c r="C22" s="2"/>
      <c r="D22" s="2"/>
      <c r="E22" s="108"/>
    </row>
    <row r="23" spans="1:8">
      <c r="A23" s="24"/>
      <c r="B23" s="2"/>
      <c r="C23" s="27"/>
      <c r="D23" s="34"/>
      <c r="E23" s="27"/>
    </row>
    <row r="24" spans="1:8" ht="24" thickBot="1">
      <c r="A24" s="23" t="s">
        <v>5</v>
      </c>
      <c r="B24" s="35"/>
      <c r="C24" s="36"/>
      <c r="E24" s="34"/>
    </row>
    <row r="25" spans="1:8">
      <c r="A25" s="144" t="s">
        <v>7</v>
      </c>
      <c r="B25" s="145" t="s">
        <v>8</v>
      </c>
      <c r="C25" s="146" t="s">
        <v>9</v>
      </c>
    </row>
    <row r="26" spans="1:8">
      <c r="A26" s="26" t="s">
        <v>10</v>
      </c>
      <c r="B26" s="147">
        <f>SUM(B27:B31)</f>
        <v>0.99999999999999989</v>
      </c>
      <c r="C26" s="37">
        <f>SUM(C27:C31)</f>
        <v>2366709.1095432988</v>
      </c>
      <c r="D26" s="128"/>
    </row>
    <row r="27" spans="1:8">
      <c r="A27" s="38" t="s">
        <v>11</v>
      </c>
      <c r="B27" s="148">
        <v>0.57499999999999996</v>
      </c>
      <c r="C27" s="39">
        <f>B27*$C$20</f>
        <v>1360857.7379873968</v>
      </c>
      <c r="D27" s="128"/>
      <c r="E27" s="18"/>
    </row>
    <row r="28" spans="1:8">
      <c r="A28" s="38" t="s">
        <v>12</v>
      </c>
      <c r="B28" s="148">
        <v>0.1</v>
      </c>
      <c r="C28" s="39">
        <f>B28*$C$20</f>
        <v>236670.91095432988</v>
      </c>
      <c r="D28" s="128"/>
      <c r="E28" s="18"/>
    </row>
    <row r="29" spans="1:8">
      <c r="A29" s="38" t="s">
        <v>13</v>
      </c>
      <c r="B29" s="149">
        <v>0.08</v>
      </c>
      <c r="C29" s="39">
        <f>B29*$C$20</f>
        <v>189336.72876346391</v>
      </c>
      <c r="D29" s="128"/>
      <c r="E29" s="18"/>
    </row>
    <row r="30" spans="1:8">
      <c r="A30" s="38" t="s">
        <v>14</v>
      </c>
      <c r="B30" s="148">
        <v>0.13</v>
      </c>
      <c r="C30" s="39">
        <f>B30*$C$20</f>
        <v>307672.18424062885</v>
      </c>
      <c r="D30" s="128"/>
      <c r="E30" s="18"/>
    </row>
    <row r="31" spans="1:8" ht="15.75" thickBot="1">
      <c r="A31" s="40" t="s">
        <v>15</v>
      </c>
      <c r="B31" s="41">
        <v>0.115</v>
      </c>
      <c r="C31" s="42">
        <f>B31*$C$20</f>
        <v>272171.54759747937</v>
      </c>
      <c r="D31" s="128"/>
      <c r="E31" s="18"/>
    </row>
    <row r="32" spans="1:8">
      <c r="A32" s="46" t="s">
        <v>6</v>
      </c>
      <c r="B32" s="43"/>
      <c r="C32" s="43"/>
      <c r="D32" s="128"/>
      <c r="E32" s="18"/>
    </row>
    <row r="33" spans="4:6">
      <c r="D33" s="128"/>
      <c r="E33" s="18"/>
    </row>
    <row r="34" spans="4:6">
      <c r="D34" s="128"/>
      <c r="E34" s="18"/>
    </row>
    <row r="35" spans="4:6">
      <c r="D35" s="128"/>
      <c r="E35" s="18"/>
    </row>
    <row r="36" spans="4:6">
      <c r="D36" s="128"/>
      <c r="E36" s="18"/>
    </row>
    <row r="37" spans="4:6">
      <c r="D37" s="128"/>
      <c r="E37" s="18"/>
    </row>
    <row r="38" spans="4:6">
      <c r="D38" s="128"/>
      <c r="E38" s="18"/>
      <c r="F38" s="109"/>
    </row>
    <row r="39" spans="4:6">
      <c r="D39" s="128"/>
      <c r="E39" s="18"/>
    </row>
    <row r="40" spans="4:6">
      <c r="D40" s="128"/>
      <c r="E40" s="18"/>
      <c r="F40" s="109"/>
    </row>
    <row r="41" spans="4:6">
      <c r="D41" s="128"/>
      <c r="E41" s="18"/>
    </row>
    <row r="42" spans="4:6">
      <c r="D42" s="128"/>
      <c r="E42" s="18"/>
    </row>
    <row r="43" spans="4:6">
      <c r="D43" s="128"/>
      <c r="E43" s="18"/>
    </row>
    <row r="44" spans="4:6">
      <c r="D44" s="128"/>
      <c r="E44" s="18"/>
    </row>
    <row r="45" spans="4:6">
      <c r="D45" s="128"/>
      <c r="E45" s="18"/>
    </row>
    <row r="46" spans="4:6">
      <c r="D46" s="128"/>
      <c r="E46" s="18"/>
    </row>
    <row r="47" spans="4:6">
      <c r="D47" s="143"/>
      <c r="E47" s="18"/>
    </row>
  </sheetData>
  <mergeCells count="15">
    <mergeCell ref="A19:B19"/>
    <mergeCell ref="A13:B13"/>
    <mergeCell ref="A14:B14"/>
    <mergeCell ref="A18:B18"/>
    <mergeCell ref="A17:B17"/>
    <mergeCell ref="A15:B15"/>
    <mergeCell ref="A16:B16"/>
    <mergeCell ref="A9:B9"/>
    <mergeCell ref="A11:B11"/>
    <mergeCell ref="A10:B10"/>
    <mergeCell ref="A12:B12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&amp;LBilaga 3 till regleringsbrev för budgetåret 2022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R56"/>
  <sheetViews>
    <sheetView showGridLines="0" tabSelected="1" zoomScaleNormal="100" zoomScaleSheetLayoutView="73" zoomScalePageLayoutView="90" workbookViewId="0">
      <pane xSplit="1" ySplit="1" topLeftCell="T2" activePane="bottomRight" state="frozen"/>
      <selection activeCell="D43" sqref="D43"/>
      <selection pane="topRight" activeCell="D43" sqref="D43"/>
      <selection pane="bottomLeft" activeCell="D43" sqref="D43"/>
      <selection pane="bottomRight" activeCell="AI37" sqref="AI37"/>
    </sheetView>
  </sheetViews>
  <sheetFormatPr defaultColWidth="9.140625" defaultRowHeight="12.75"/>
  <cols>
    <col min="1" max="1" width="15.7109375" style="22" customWidth="1"/>
    <col min="2" max="2" width="13.5703125" style="22" customWidth="1"/>
    <col min="3" max="3" width="7.140625" style="9" customWidth="1"/>
    <col min="4" max="4" width="7.140625" style="22" customWidth="1"/>
    <col min="5" max="5" width="9.5703125" style="22" customWidth="1"/>
    <col min="6" max="6" width="9.5703125" style="1" customWidth="1"/>
    <col min="7" max="7" width="11" style="24" customWidth="1"/>
    <col min="8" max="12" width="9.5703125" style="24" customWidth="1"/>
    <col min="13" max="15" width="10.42578125" style="24" customWidth="1"/>
    <col min="16" max="16" width="9.5703125" style="24" customWidth="1"/>
    <col min="17" max="17" width="1.140625" style="24" customWidth="1"/>
    <col min="18" max="20" width="9.5703125" style="24" customWidth="1"/>
    <col min="21" max="21" width="1.42578125" style="9" customWidth="1"/>
    <col min="22" max="22" width="15.7109375" style="9" customWidth="1"/>
    <col min="23" max="23" width="9.85546875" style="9" customWidth="1"/>
    <col min="24" max="24" width="10.42578125" style="9" customWidth="1"/>
    <col min="25" max="25" width="9.5703125" style="9" customWidth="1"/>
    <col min="26" max="26" width="9.140625" style="9" customWidth="1"/>
    <col min="27" max="27" width="12" style="9" customWidth="1"/>
    <col min="28" max="28" width="9.7109375" style="9" customWidth="1"/>
    <col min="29" max="29" width="8.5703125" style="9" customWidth="1"/>
    <col min="30" max="30" width="8.7109375" style="9" customWidth="1"/>
    <col min="31" max="31" width="9.28515625" style="9" customWidth="1"/>
    <col min="32" max="32" width="11.140625" style="9" customWidth="1"/>
    <col min="33" max="33" width="11.5703125" style="9" customWidth="1"/>
    <col min="34" max="34" width="2" style="9" customWidth="1"/>
    <col min="35" max="35" width="12.5703125" style="9" customWidth="1"/>
    <col min="36" max="36" width="12.85546875" style="9" customWidth="1"/>
    <col min="37" max="37" width="8.5703125" style="9" customWidth="1"/>
    <col min="38" max="38" width="12.28515625" style="9" customWidth="1"/>
    <col min="39" max="39" width="12.140625" style="24" customWidth="1"/>
    <col min="40" max="40" width="11" style="9" customWidth="1"/>
    <col min="41" max="41" width="12.42578125" style="9" customWidth="1"/>
    <col min="42" max="42" width="8.5703125" style="9" customWidth="1"/>
    <col min="43" max="43" width="9.7109375" style="5" customWidth="1"/>
    <col min="44" max="44" width="5.140625" style="9" customWidth="1"/>
    <col min="45" max="16384" width="9.140625" style="9"/>
  </cols>
  <sheetData>
    <row r="1" spans="1:44" ht="23.25">
      <c r="A1" s="23" t="s">
        <v>93</v>
      </c>
      <c r="B1" s="23"/>
      <c r="C1" s="5"/>
      <c r="D1" s="47"/>
      <c r="E1" s="47"/>
      <c r="G1" s="127"/>
      <c r="H1" s="47"/>
      <c r="I1" s="47"/>
      <c r="J1" s="47"/>
      <c r="K1" s="47"/>
      <c r="L1" s="47"/>
      <c r="M1" s="47"/>
      <c r="N1" s="47"/>
      <c r="O1" s="47"/>
      <c r="P1" s="47"/>
      <c r="Q1" s="47"/>
      <c r="R1" s="134"/>
      <c r="S1" s="134"/>
      <c r="T1" s="134"/>
      <c r="U1" s="22"/>
      <c r="V1" s="23" t="s">
        <v>16</v>
      </c>
      <c r="W1" s="48"/>
      <c r="X1" s="22"/>
      <c r="AD1" s="5"/>
      <c r="AE1" s="18"/>
      <c r="AF1" s="18"/>
      <c r="AG1" s="49"/>
      <c r="AH1" s="5"/>
      <c r="AI1" s="23" t="s">
        <v>17</v>
      </c>
      <c r="AJ1" s="18"/>
      <c r="AK1" s="22"/>
      <c r="AL1" s="22"/>
      <c r="AM1" s="47"/>
      <c r="AQ1" s="9"/>
    </row>
    <row r="2" spans="1:44">
      <c r="C2" s="5"/>
      <c r="G2" s="2"/>
      <c r="H2" s="2"/>
      <c r="I2" s="2"/>
      <c r="J2" s="2"/>
      <c r="K2" s="2"/>
      <c r="L2" s="2"/>
      <c r="M2" s="101"/>
      <c r="N2" s="126"/>
      <c r="O2" s="127"/>
      <c r="P2" s="2"/>
      <c r="Q2" s="127"/>
      <c r="R2" s="127"/>
      <c r="S2" s="127"/>
      <c r="T2" s="127"/>
      <c r="U2" s="22"/>
      <c r="V2" s="22"/>
      <c r="W2" s="48"/>
      <c r="X2" s="22"/>
      <c r="AD2" s="5"/>
      <c r="AE2" s="18"/>
      <c r="AF2" s="18"/>
      <c r="AG2" s="49"/>
      <c r="AH2" s="5"/>
      <c r="AI2" s="5"/>
      <c r="AJ2" s="18"/>
      <c r="AK2" s="22"/>
      <c r="AL2" s="22"/>
      <c r="AM2" s="2"/>
      <c r="AQ2" s="9"/>
    </row>
    <row r="3" spans="1:44" ht="15.75">
      <c r="A3" s="174"/>
      <c r="B3" s="176" t="s">
        <v>18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8"/>
      <c r="R3" s="176" t="s">
        <v>87</v>
      </c>
      <c r="S3" s="177"/>
      <c r="T3" s="178"/>
      <c r="U3" s="22"/>
      <c r="V3" s="176" t="s">
        <v>19</v>
      </c>
      <c r="W3" s="177"/>
      <c r="X3" s="177"/>
      <c r="Y3" s="177"/>
      <c r="Z3" s="177"/>
      <c r="AA3" s="178"/>
      <c r="AB3" s="176" t="s">
        <v>20</v>
      </c>
      <c r="AC3" s="177"/>
      <c r="AD3" s="177"/>
      <c r="AE3" s="177"/>
      <c r="AF3" s="177"/>
      <c r="AG3" s="178"/>
      <c r="AI3" s="182" t="s">
        <v>21</v>
      </c>
      <c r="AJ3" s="183"/>
      <c r="AK3" s="183"/>
      <c r="AL3" s="183"/>
      <c r="AM3" s="183"/>
      <c r="AN3" s="184"/>
      <c r="AO3" s="102"/>
      <c r="AP3" s="102"/>
      <c r="AQ3" s="103"/>
    </row>
    <row r="4" spans="1:44" ht="12.75" customHeight="1">
      <c r="A4" s="175"/>
      <c r="B4" s="179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  <c r="R4" s="179"/>
      <c r="S4" s="180"/>
      <c r="T4" s="181"/>
      <c r="U4" s="22"/>
      <c r="V4" s="179"/>
      <c r="W4" s="180"/>
      <c r="X4" s="180"/>
      <c r="Y4" s="180"/>
      <c r="Z4" s="180"/>
      <c r="AA4" s="181"/>
      <c r="AB4" s="179"/>
      <c r="AC4" s="180"/>
      <c r="AD4" s="180"/>
      <c r="AE4" s="180"/>
      <c r="AF4" s="180"/>
      <c r="AG4" s="181"/>
      <c r="AI4" s="185"/>
      <c r="AJ4" s="186"/>
      <c r="AK4" s="186"/>
      <c r="AL4" s="186"/>
      <c r="AM4" s="186"/>
      <c r="AN4" s="187"/>
      <c r="AO4" s="104"/>
      <c r="AP4" s="104"/>
      <c r="AQ4" s="105"/>
    </row>
    <row r="5" spans="1:44" ht="45.75" customHeight="1">
      <c r="A5" s="50"/>
      <c r="B5" s="130" t="s">
        <v>86</v>
      </c>
      <c r="C5" s="141" t="s">
        <v>40</v>
      </c>
      <c r="D5" s="51" t="s">
        <v>22</v>
      </c>
      <c r="E5" s="51" t="s">
        <v>23</v>
      </c>
      <c r="F5" s="51" t="s">
        <v>24</v>
      </c>
      <c r="G5" s="51" t="s">
        <v>25</v>
      </c>
      <c r="H5" s="51" t="s">
        <v>26</v>
      </c>
      <c r="I5" s="51" t="s">
        <v>27</v>
      </c>
      <c r="J5" s="51" t="s">
        <v>28</v>
      </c>
      <c r="K5" s="51" t="s">
        <v>29</v>
      </c>
      <c r="L5" s="51" t="s">
        <v>30</v>
      </c>
      <c r="M5" s="51" t="s">
        <v>80</v>
      </c>
      <c r="N5" s="118" t="s">
        <v>85</v>
      </c>
      <c r="O5" s="51" t="s">
        <v>88</v>
      </c>
      <c r="P5" s="52" t="s">
        <v>31</v>
      </c>
      <c r="Q5" s="130"/>
      <c r="R5" s="89" t="s">
        <v>42</v>
      </c>
      <c r="S5" s="88" t="s">
        <v>43</v>
      </c>
      <c r="T5" s="138" t="s">
        <v>44</v>
      </c>
      <c r="U5" s="22"/>
      <c r="V5" s="58"/>
      <c r="W5" s="51" t="s">
        <v>32</v>
      </c>
      <c r="X5" s="51" t="s">
        <v>33</v>
      </c>
      <c r="Y5" s="51" t="s">
        <v>34</v>
      </c>
      <c r="Z5" s="118" t="s">
        <v>35</v>
      </c>
      <c r="AA5" s="52" t="s">
        <v>36</v>
      </c>
      <c r="AB5" s="53" t="s">
        <v>32</v>
      </c>
      <c r="AC5" s="51" t="s">
        <v>33</v>
      </c>
      <c r="AD5" s="51" t="s">
        <v>37</v>
      </c>
      <c r="AE5" s="51" t="s">
        <v>38</v>
      </c>
      <c r="AF5" s="51" t="s">
        <v>36</v>
      </c>
      <c r="AG5" s="52" t="s">
        <v>39</v>
      </c>
      <c r="AH5" s="54"/>
      <c r="AI5" s="87"/>
      <c r="AJ5" s="88" t="s">
        <v>1</v>
      </c>
      <c r="AK5" s="88" t="s">
        <v>2</v>
      </c>
      <c r="AL5" s="88" t="s">
        <v>41</v>
      </c>
      <c r="AM5" s="107" t="s">
        <v>83</v>
      </c>
      <c r="AN5" s="88" t="s">
        <v>45</v>
      </c>
      <c r="AO5" s="89" t="s">
        <v>46</v>
      </c>
      <c r="AP5" s="90" t="s">
        <v>47</v>
      </c>
      <c r="AQ5" s="151" t="s">
        <v>48</v>
      </c>
    </row>
    <row r="6" spans="1:44" ht="11.25">
      <c r="A6" s="55" t="s">
        <v>49</v>
      </c>
      <c r="B6" s="129"/>
      <c r="C6" s="92"/>
      <c r="D6" s="56" t="s">
        <v>50</v>
      </c>
      <c r="E6" s="56" t="s">
        <v>50</v>
      </c>
      <c r="F6" s="56" t="s">
        <v>50</v>
      </c>
      <c r="G6" s="56" t="s">
        <v>50</v>
      </c>
      <c r="H6" s="56" t="s">
        <v>50</v>
      </c>
      <c r="I6" s="56" t="s">
        <v>50</v>
      </c>
      <c r="J6" s="56" t="s">
        <v>50</v>
      </c>
      <c r="K6" s="56" t="s">
        <v>50</v>
      </c>
      <c r="L6" s="56" t="s">
        <v>50</v>
      </c>
      <c r="M6" s="56" t="s">
        <v>50</v>
      </c>
      <c r="N6" s="142"/>
      <c r="O6" s="56"/>
      <c r="P6" s="57"/>
      <c r="Q6" s="131"/>
      <c r="R6" s="135"/>
      <c r="S6" s="92"/>
      <c r="T6" s="139"/>
      <c r="U6" s="167"/>
      <c r="V6" s="64"/>
      <c r="W6" s="59"/>
      <c r="X6" s="60"/>
      <c r="Y6" s="61"/>
      <c r="Z6" s="61"/>
      <c r="AA6" s="62"/>
      <c r="AB6" s="63"/>
      <c r="AC6" s="60"/>
      <c r="AD6" s="60"/>
      <c r="AE6" s="60"/>
      <c r="AF6" s="60"/>
      <c r="AG6" s="64"/>
      <c r="AI6" s="91"/>
      <c r="AJ6" s="92"/>
      <c r="AK6" s="121" t="s">
        <v>50</v>
      </c>
      <c r="AL6" s="92"/>
      <c r="AM6" s="106"/>
      <c r="AN6" s="92"/>
      <c r="AO6" s="93"/>
      <c r="AP6" s="94"/>
      <c r="AQ6" s="152"/>
    </row>
    <row r="7" spans="1:44" ht="15" customHeight="1">
      <c r="A7" s="50" t="s">
        <v>51</v>
      </c>
      <c r="B7" s="18">
        <f>1896.52706627707*1.0108</f>
        <v>1917.009558592862</v>
      </c>
      <c r="C7" s="4"/>
      <c r="D7" s="18"/>
      <c r="E7" s="18"/>
      <c r="F7" s="18"/>
      <c r="G7" s="18">
        <f>6694.669*1.0108</f>
        <v>6766.9714251999994</v>
      </c>
      <c r="H7" s="18"/>
      <c r="I7" s="18">
        <f>962.971658339592*1.0108</f>
        <v>973.37175224965949</v>
      </c>
      <c r="J7" s="18"/>
      <c r="K7" s="18">
        <f>2519.740103724*1.0108</f>
        <v>2546.953296844219</v>
      </c>
      <c r="L7" s="18">
        <f>4432.9565*1.0108</f>
        <v>4480.8324302000001</v>
      </c>
      <c r="M7" s="18">
        <f>5000*1.0108</f>
        <v>5054</v>
      </c>
      <c r="N7" s="18">
        <v>-5114.5822239268009</v>
      </c>
      <c r="O7" s="18">
        <v>500</v>
      </c>
      <c r="P7" s="65">
        <f>SUM(B7:O7)</f>
        <v>17124.556239159938</v>
      </c>
      <c r="Q7" s="132"/>
      <c r="R7" s="136">
        <f>872*1.0276*1.0091*1.0182*1.0155*1.0184*1.0123*1.0203*1.0165</f>
        <v>999.65629294300516</v>
      </c>
      <c r="S7" s="137">
        <f>1616*1.006*1.0089*1.0057*1.0276*1.0091*1.0182*1.0155*1.0184*1.0123*1.0203*1.0165</f>
        <v>1890.9939033047638</v>
      </c>
      <c r="T7" s="140">
        <f>1999*1.0276*1.0091*1.0182*1.0155*1.0184*1.0123*1.0203*1.0165</f>
        <v>2291.6432678819569</v>
      </c>
      <c r="U7" s="166"/>
      <c r="V7" s="66" t="s">
        <v>51</v>
      </c>
      <c r="W7" s="156">
        <v>0.23045784901575686</v>
      </c>
      <c r="X7" s="157">
        <v>1.5966470902806507E-2</v>
      </c>
      <c r="Y7" s="156">
        <v>6.6210045662100453E-2</v>
      </c>
      <c r="Z7" s="156">
        <v>5.9806004904279619E-2</v>
      </c>
      <c r="AA7" s="158">
        <v>3.2130768314878128E-2</v>
      </c>
      <c r="AB7" s="67">
        <f>SUM(W7*'Översikt fördelning'!$C$27)</f>
        <v>313620.34711302392</v>
      </c>
      <c r="AC7" s="68">
        <f>SUM(X7*'Översikt fördelning'!$C$28)</f>
        <v>3778.7992132930176</v>
      </c>
      <c r="AD7" s="68">
        <f>SUM(Y7*'Översikt fördelning'!$C$29)</f>
        <v>12535.993456941673</v>
      </c>
      <c r="AE7" s="68">
        <f>SUM(Z7*'Översikt fördelning'!$C$30)</f>
        <v>18400.644159605472</v>
      </c>
      <c r="AF7" s="68">
        <f>SUM(AA7*'Översikt fördelning'!$C$31)</f>
        <v>8745.0809377564347</v>
      </c>
      <c r="AG7" s="69">
        <f t="shared" ref="AG7:AG27" si="0">SUM(AB7:AF7)</f>
        <v>357080.86488062056</v>
      </c>
      <c r="AI7" s="3" t="s">
        <v>51</v>
      </c>
      <c r="AJ7" s="4">
        <f t="shared" ref="AJ7:AJ27" si="1">SUM(P7)</f>
        <v>17124.556239159938</v>
      </c>
      <c r="AK7" s="4">
        <f>42500*1.0108</f>
        <v>42959</v>
      </c>
      <c r="AL7" s="4"/>
      <c r="AM7" s="18">
        <v>1755.7882164619321</v>
      </c>
      <c r="AN7" s="4">
        <f t="shared" ref="AN7:AN27" si="2">AG7</f>
        <v>357080.86488062056</v>
      </c>
      <c r="AO7" s="115">
        <f t="shared" ref="AO7:AO27" si="3">SUM(AJ7:AN7)</f>
        <v>418920.20933624241</v>
      </c>
      <c r="AP7" s="70">
        <f t="shared" ref="AP7:AP27" si="4">AO7/$AO$28</f>
        <v>0.11992719672070981</v>
      </c>
      <c r="AQ7" s="159">
        <v>12567</v>
      </c>
      <c r="AR7" s="150"/>
    </row>
    <row r="8" spans="1:44" ht="11.25">
      <c r="A8" s="50" t="s">
        <v>52</v>
      </c>
      <c r="B8" s="128"/>
      <c r="C8" s="4"/>
      <c r="D8" s="18"/>
      <c r="E8" s="18">
        <f>977.430827459165*1.0108</f>
        <v>987.98708039572386</v>
      </c>
      <c r="F8" s="18"/>
      <c r="G8" s="18"/>
      <c r="H8" s="18"/>
      <c r="I8" s="18">
        <f>962.971658339592*1.0108</f>
        <v>973.37175224965949</v>
      </c>
      <c r="J8" s="18"/>
      <c r="K8" s="18">
        <f>1679.826735816*1.0108</f>
        <v>1697.9688645628128</v>
      </c>
      <c r="L8" s="18"/>
      <c r="M8" s="18"/>
      <c r="N8" s="18">
        <v>-2187.4137313660426</v>
      </c>
      <c r="O8" s="18"/>
      <c r="P8" s="65">
        <f t="shared" ref="P8:P26" si="5">SUM(B8:O8)</f>
        <v>1471.9139658421532</v>
      </c>
      <c r="Q8" s="132"/>
      <c r="R8" s="136">
        <f>3110*1.0276*1.0091*1.0182*1.0155*1.0184*1.0123*1.0203*1.0165</f>
        <v>3565.2879255192033</v>
      </c>
      <c r="S8" s="137">
        <f>-389*1.006*1.0089*1.0057*1.0276*1.0091*1.0182*1.0155*1.0184*1.0123*1.0203*1.0165</f>
        <v>-455.19593340690164</v>
      </c>
      <c r="T8" s="140">
        <f>-450*1.0276*1.0091*1.0182*1.0155*1.0184*1.0123*1.0203*1.0165</f>
        <v>-515.8776741104956</v>
      </c>
      <c r="U8" s="22"/>
      <c r="V8" s="50" t="s">
        <v>52</v>
      </c>
      <c r="W8" s="160">
        <v>3.7420075255592988E-2</v>
      </c>
      <c r="X8" s="161">
        <v>1.9240851278999518E-2</v>
      </c>
      <c r="Y8" s="160">
        <v>2.7397260273972601E-2</v>
      </c>
      <c r="Z8" s="160">
        <v>2.2334752019571719E-2</v>
      </c>
      <c r="AA8" s="162">
        <v>4.4037352656018776E-2</v>
      </c>
      <c r="AB8" s="71">
        <f>SUM(W8*'Översikt fördelning'!$C$27)</f>
        <v>50923.398967644433</v>
      </c>
      <c r="AC8" s="5">
        <f>SUM(X8*'Översikt fördelning'!$C$28)</f>
        <v>4553.7497997375995</v>
      </c>
      <c r="AD8" s="5">
        <f>SUM(Y8*'Översikt fördelning'!$C$29)</f>
        <v>5187.3076373551748</v>
      </c>
      <c r="AE8" s="5">
        <f>SUM(Z8*'Översikt fördelning'!$C$30)</f>
        <v>6871.7819383344267</v>
      </c>
      <c r="AF8" s="5">
        <f>SUM(AA8*'Översikt fördelning'!$C$31)</f>
        <v>11985.714424484599</v>
      </c>
      <c r="AG8" s="72">
        <f t="shared" si="0"/>
        <v>79521.952767556228</v>
      </c>
      <c r="AI8" s="3" t="s">
        <v>52</v>
      </c>
      <c r="AJ8" s="4">
        <f t="shared" si="1"/>
        <v>1471.9139658421532</v>
      </c>
      <c r="AK8" s="4">
        <f t="shared" ref="AK8:AK25" si="6">42500*1.0108</f>
        <v>42959</v>
      </c>
      <c r="AL8" s="18">
        <v>100</v>
      </c>
      <c r="AM8" s="18">
        <v>-1374.963427180827</v>
      </c>
      <c r="AN8" s="4">
        <f t="shared" si="2"/>
        <v>79521.952767556228</v>
      </c>
      <c r="AO8" s="115">
        <f t="shared" si="3"/>
        <v>122677.90330621756</v>
      </c>
      <c r="AP8" s="70">
        <f t="shared" si="4"/>
        <v>3.5119855082666074E-2</v>
      </c>
      <c r="AQ8" s="159">
        <v>3680</v>
      </c>
      <c r="AR8" s="150"/>
    </row>
    <row r="9" spans="1:44" ht="11.25">
      <c r="A9" s="50" t="s">
        <v>53</v>
      </c>
      <c r="B9" s="128"/>
      <c r="C9" s="4"/>
      <c r="D9" s="18"/>
      <c r="E9" s="18"/>
      <c r="F9" s="18"/>
      <c r="G9" s="18"/>
      <c r="H9" s="18"/>
      <c r="I9" s="18">
        <f>962.971658339592*1.0108</f>
        <v>973.37175224965949</v>
      </c>
      <c r="J9" s="18"/>
      <c r="K9" s="18">
        <f>1679.826735816*1.0108</f>
        <v>1697.9688645628128</v>
      </c>
      <c r="L9" s="18"/>
      <c r="M9" s="18"/>
      <c r="N9" s="18">
        <v>-3794.3254626278981</v>
      </c>
      <c r="O9" s="18"/>
      <c r="P9" s="65">
        <f t="shared" si="5"/>
        <v>-1122.9848458154261</v>
      </c>
      <c r="Q9" s="132"/>
      <c r="R9" s="136">
        <f>-1862*1.0276*1.0091*1.0182*1.0155*1.0184*1.0123*1.0203*1.0165</f>
        <v>-2134.5871759860947</v>
      </c>
      <c r="S9" s="137">
        <f>-275*1.006*1.0089*1.0057*1.0276*1.0091*1.0182*1.0155*1.0184*1.0123*1.0203*1.0165</f>
        <v>-321.79661102030326</v>
      </c>
      <c r="T9" s="140">
        <f>-815*1.0276*1.0091*1.0182*1.0155*1.0184*1.0123*1.0203*1.0165</f>
        <v>-934.31178755567566</v>
      </c>
      <c r="U9" s="22"/>
      <c r="V9" s="50" t="s">
        <v>53</v>
      </c>
      <c r="W9" s="160">
        <v>2.8845986167653968E-2</v>
      </c>
      <c r="X9" s="161">
        <v>1.5698805996829279E-2</v>
      </c>
      <c r="Y9" s="160">
        <v>2.7397260273972601E-2</v>
      </c>
      <c r="Z9" s="160">
        <v>2.7350258120598481E-2</v>
      </c>
      <c r="AA9" s="162">
        <v>3.2964229218757975E-2</v>
      </c>
      <c r="AB9" s="71">
        <f>SUM(W9*'Översikt fördelning'!$C$27)</f>
        <v>39255.283486129316</v>
      </c>
      <c r="AC9" s="5">
        <f>SUM(X9*'Översikt fördelning'!$C$28)</f>
        <v>3715.4507161648821</v>
      </c>
      <c r="AD9" s="5">
        <f>SUM(Y9*'Översikt fördelning'!$C$29)</f>
        <v>5187.3076373551748</v>
      </c>
      <c r="AE9" s="5">
        <f>SUM(Z9*'Översikt fördelning'!$C$30)</f>
        <v>8414.913655509532</v>
      </c>
      <c r="AF9" s="5">
        <f>SUM(AA9*'Översikt fördelning'!$C$31)</f>
        <v>8971.9252818274053</v>
      </c>
      <c r="AG9" s="72">
        <f t="shared" si="0"/>
        <v>65544.880776986305</v>
      </c>
      <c r="AI9" s="3" t="s">
        <v>53</v>
      </c>
      <c r="AJ9" s="4">
        <f t="shared" si="1"/>
        <v>-1122.9848458154261</v>
      </c>
      <c r="AK9" s="4">
        <f t="shared" si="6"/>
        <v>42959</v>
      </c>
      <c r="AL9" s="4">
        <v>600</v>
      </c>
      <c r="AM9" s="18">
        <v>-1041.2412287733798</v>
      </c>
      <c r="AN9" s="4">
        <f t="shared" si="2"/>
        <v>65544.880776986305</v>
      </c>
      <c r="AO9" s="115">
        <f t="shared" si="3"/>
        <v>106939.6547023975</v>
      </c>
      <c r="AP9" s="70">
        <f t="shared" si="4"/>
        <v>3.0614357390539162E-2</v>
      </c>
      <c r="AQ9" s="159">
        <v>3208</v>
      </c>
      <c r="AR9" s="150"/>
    </row>
    <row r="10" spans="1:44" ht="11.25">
      <c r="A10" s="50" t="s">
        <v>54</v>
      </c>
      <c r="B10" s="163">
        <v>32000</v>
      </c>
      <c r="C10" s="4"/>
      <c r="D10" s="18"/>
      <c r="E10" s="18"/>
      <c r="F10" s="18"/>
      <c r="G10" s="18"/>
      <c r="H10" s="18"/>
      <c r="I10" s="18">
        <f>962.971658339592*1.0108</f>
        <v>973.37175224965949</v>
      </c>
      <c r="J10" s="18"/>
      <c r="K10" s="18">
        <f t="shared" ref="K10:K15" si="7">1679.826735816*1.0108</f>
        <v>1697.9688645628128</v>
      </c>
      <c r="L10" s="18"/>
      <c r="M10" s="18"/>
      <c r="N10" s="18">
        <v>-2660.0348287959996</v>
      </c>
      <c r="O10" s="18"/>
      <c r="P10" s="65">
        <f t="shared" si="5"/>
        <v>32011.305788016471</v>
      </c>
      <c r="Q10" s="132"/>
      <c r="R10" s="136">
        <f>1143*1.0276*1.0091*1.0182*1.0155*1.0184*1.0123*1.0203*1.0165</f>
        <v>1310.329292240659</v>
      </c>
      <c r="S10" s="137">
        <f>577*1.006*1.0089*1.0057*1.0276*1.0091*1.0182*1.0155*1.0184*1.0123*1.0203*1.0165</f>
        <v>675.18779839532715</v>
      </c>
      <c r="T10" s="140">
        <f>1374*1.0276*1.0091*1.0182*1.0155*1.0184*1.0123*1.0203*1.0165</f>
        <v>1575.1464982840473</v>
      </c>
      <c r="U10" s="22"/>
      <c r="V10" s="50" t="s">
        <v>54</v>
      </c>
      <c r="W10" s="160">
        <v>4.5008644614109146E-2</v>
      </c>
      <c r="X10" s="161">
        <v>2.7319789897352877E-2</v>
      </c>
      <c r="Y10" s="160">
        <v>4.5662100456621002E-2</v>
      </c>
      <c r="Z10" s="160">
        <v>5.3504754168223839E-2</v>
      </c>
      <c r="AA10" s="162">
        <v>5.3358507254511744E-2</v>
      </c>
      <c r="AB10" s="71">
        <f>SUM(W10*'Översikt fördelning'!$C$27)</f>
        <v>61250.362299435204</v>
      </c>
      <c r="AC10" s="5">
        <f>SUM(X10*'Översikt fördelning'!$C$28)</f>
        <v>6465.7995620874035</v>
      </c>
      <c r="AD10" s="5">
        <f>SUM(Y10*'Översikt fördelning'!$C$29)</f>
        <v>8645.5127289252923</v>
      </c>
      <c r="AE10" s="5">
        <f>SUM(Z10*'Översikt fördelning'!$C$30)</f>
        <v>16461.924582195319</v>
      </c>
      <c r="AF10" s="5">
        <f>SUM(AA10*'Översikt fördelning'!$C$31)</f>
        <v>14522.667496951792</v>
      </c>
      <c r="AG10" s="72">
        <f t="shared" si="0"/>
        <v>107346.266669595</v>
      </c>
      <c r="AI10" s="3" t="s">
        <v>54</v>
      </c>
      <c r="AJ10" s="4">
        <f t="shared" si="1"/>
        <v>32011.305788016471</v>
      </c>
      <c r="AK10" s="4">
        <f t="shared" si="6"/>
        <v>42959</v>
      </c>
      <c r="AL10" s="4">
        <v>2600</v>
      </c>
      <c r="AM10" s="18">
        <v>-634.74040780842188</v>
      </c>
      <c r="AN10" s="4">
        <f t="shared" si="2"/>
        <v>107346.266669595</v>
      </c>
      <c r="AO10" s="164">
        <f t="shared" si="3"/>
        <v>184281.83204980305</v>
      </c>
      <c r="AP10" s="70">
        <f t="shared" si="4"/>
        <v>5.2755639455318935E-2</v>
      </c>
      <c r="AQ10" s="159">
        <v>5528</v>
      </c>
      <c r="AR10" s="150"/>
    </row>
    <row r="11" spans="1:44" ht="11.25">
      <c r="A11" s="50" t="s">
        <v>55</v>
      </c>
      <c r="B11" s="128"/>
      <c r="C11" s="4"/>
      <c r="D11" s="18"/>
      <c r="E11" s="18"/>
      <c r="F11" s="18"/>
      <c r="G11" s="18"/>
      <c r="H11" s="18"/>
      <c r="I11" s="18"/>
      <c r="J11" s="18"/>
      <c r="K11" s="18">
        <f t="shared" si="7"/>
        <v>1697.9688645628128</v>
      </c>
      <c r="L11" s="18"/>
      <c r="M11" s="18"/>
      <c r="N11" s="18">
        <v>-2124.7400640981564</v>
      </c>
      <c r="O11" s="18"/>
      <c r="P11" s="65">
        <f>SUM(B11:O11)</f>
        <v>-426.77119953534361</v>
      </c>
      <c r="Q11" s="132"/>
      <c r="R11" s="136">
        <f>-1143*1.0276*1.0091*1.0182*1.0155*1.0184*1.0123*1.0203*1.0165</f>
        <v>-1310.329292240659</v>
      </c>
      <c r="S11" s="137">
        <f>-960*1.006*1.0089*1.0057*1.0276*1.0091*1.0182*1.0155*1.0184*1.0123*1.0203*1.0165</f>
        <v>-1123.3627148345131</v>
      </c>
      <c r="T11" s="140">
        <f>-800*1.0276*1.0091*1.0182*1.0155*1.0184*1.0123*1.0203*1.0165</f>
        <v>-917.11586508532571</v>
      </c>
      <c r="U11" s="22"/>
      <c r="V11" s="50" t="s">
        <v>55</v>
      </c>
      <c r="W11" s="160">
        <v>3.5167128403229699E-2</v>
      </c>
      <c r="X11" s="161">
        <v>2.6133222607913089E-2</v>
      </c>
      <c r="Y11" s="160">
        <v>4.3378995433789952E-2</v>
      </c>
      <c r="Z11" s="160">
        <v>6.030821711611789E-2</v>
      </c>
      <c r="AA11" s="162">
        <v>5.2405980507220493E-2</v>
      </c>
      <c r="AB11" s="71">
        <f>SUM(W11*'Översikt fördelning'!$C$27)</f>
        <v>47857.458810331504</v>
      </c>
      <c r="AC11" s="5">
        <f>SUM(X11*'Översikt fördelning'!$C$28)</f>
        <v>6184.9736007870797</v>
      </c>
      <c r="AD11" s="5">
        <f>SUM(Y11*'Översikt fördelning'!$C$29)</f>
        <v>8213.2370924790266</v>
      </c>
      <c r="AE11" s="5">
        <f>SUM(Z11*'Översikt fördelning'!$C$30)</f>
        <v>18555.160887774069</v>
      </c>
      <c r="AF11" s="5">
        <f>SUM(AA11*'Översikt fördelning'!$C$31)</f>
        <v>14263.416818013538</v>
      </c>
      <c r="AG11" s="72">
        <f t="shared" si="0"/>
        <v>95074.247209385212</v>
      </c>
      <c r="AI11" s="3" t="s">
        <v>55</v>
      </c>
      <c r="AJ11" s="4">
        <f t="shared" si="1"/>
        <v>-426.77119953534361</v>
      </c>
      <c r="AK11" s="4">
        <f t="shared" si="6"/>
        <v>42959</v>
      </c>
      <c r="AL11" s="4"/>
      <c r="AM11" s="18">
        <v>84.830432404492356</v>
      </c>
      <c r="AN11" s="4">
        <f t="shared" si="2"/>
        <v>95074.247209385212</v>
      </c>
      <c r="AO11" s="164">
        <f t="shared" si="3"/>
        <v>137691.30644225437</v>
      </c>
      <c r="AP11" s="70">
        <f t="shared" si="4"/>
        <v>3.9417846230420994E-2</v>
      </c>
      <c r="AQ11" s="159">
        <v>4130</v>
      </c>
      <c r="AR11" s="150"/>
    </row>
    <row r="12" spans="1:44" ht="11.25">
      <c r="A12" s="50" t="s">
        <v>56</v>
      </c>
      <c r="B12" s="128"/>
      <c r="C12" s="4"/>
      <c r="D12" s="18"/>
      <c r="E12" s="18"/>
      <c r="F12" s="18"/>
      <c r="G12" s="18"/>
      <c r="H12" s="18"/>
      <c r="I12" s="18"/>
      <c r="J12" s="18"/>
      <c r="K12" s="18">
        <f t="shared" si="7"/>
        <v>1697.9688645628128</v>
      </c>
      <c r="L12" s="18"/>
      <c r="M12" s="18"/>
      <c r="N12" s="18">
        <v>-2674.4189491525635</v>
      </c>
      <c r="O12" s="18"/>
      <c r="P12" s="65">
        <f t="shared" si="5"/>
        <v>-976.45008458975076</v>
      </c>
      <c r="Q12" s="132"/>
      <c r="R12" s="136">
        <f>-1272*1.0276*1.0091*1.0182*1.0155*1.0184*1.0123*1.0203*1.0165</f>
        <v>-1458.2142254856681</v>
      </c>
      <c r="S12" s="137">
        <f>-98*1.006*1.0089*1.0057*1.0276*1.0091*1.0182*1.0155*1.0184*1.0123*1.0203*1.0165</f>
        <v>-114.67661047268989</v>
      </c>
      <c r="T12" s="140">
        <f>-551*1.0276*1.0091*1.0182*1.0155*1.0184*1.0123*1.0203*1.0165</f>
        <v>-631.66355207751815</v>
      </c>
      <c r="U12" s="22"/>
      <c r="V12" s="50" t="s">
        <v>56</v>
      </c>
      <c r="W12" s="160">
        <v>1.9487161700288892E-2</v>
      </c>
      <c r="X12" s="161">
        <v>2.097582319418774E-2</v>
      </c>
      <c r="Y12" s="160">
        <v>2.9680365296803651E-2</v>
      </c>
      <c r="Z12" s="160">
        <v>2.391874280158517E-2</v>
      </c>
      <c r="AA12" s="162">
        <v>3.52264802435747E-2</v>
      </c>
      <c r="AB12" s="71">
        <f>SUM(W12*'Översikt fördelning'!$C$27)</f>
        <v>26519.254791249776</v>
      </c>
      <c r="AC12" s="5">
        <f>SUM(X12*'Översikt fördelning'!$C$28)</f>
        <v>4964.3671833853741</v>
      </c>
      <c r="AD12" s="5">
        <f>SUM(Y12*'Översikt fördelning'!$C$29)</f>
        <v>5619.5832738014396</v>
      </c>
      <c r="AE12" s="5">
        <f>SUM(Z12*'Översikt fördelning'!$C$30)</f>
        <v>7359.1318420535272</v>
      </c>
      <c r="AF12" s="5">
        <f>SUM(AA12*'Översikt fördelning'!$C$31)</f>
        <v>9587.6456443057577</v>
      </c>
      <c r="AG12" s="72">
        <f t="shared" si="0"/>
        <v>54049.982734795864</v>
      </c>
      <c r="AI12" s="3" t="s">
        <v>56</v>
      </c>
      <c r="AJ12" s="4">
        <f t="shared" si="1"/>
        <v>-976.45008458975076</v>
      </c>
      <c r="AK12" s="4">
        <f t="shared" si="6"/>
        <v>42959</v>
      </c>
      <c r="AL12" s="4"/>
      <c r="AM12" s="18">
        <v>-561.87630189662741</v>
      </c>
      <c r="AN12" s="4">
        <f t="shared" si="2"/>
        <v>54049.982734795864</v>
      </c>
      <c r="AO12" s="164">
        <f t="shared" si="3"/>
        <v>95470.65634830948</v>
      </c>
      <c r="AP12" s="70">
        <f t="shared" si="4"/>
        <v>2.7331047607085331E-2</v>
      </c>
      <c r="AQ12" s="159">
        <v>2864</v>
      </c>
      <c r="AR12" s="150"/>
    </row>
    <row r="13" spans="1:44" ht="11.25">
      <c r="A13" s="50" t="s">
        <v>57</v>
      </c>
      <c r="B13" s="128"/>
      <c r="C13" s="4"/>
      <c r="D13" s="18"/>
      <c r="E13" s="18"/>
      <c r="F13" s="18"/>
      <c r="G13" s="18"/>
      <c r="H13" s="18"/>
      <c r="I13" s="18">
        <f>1925.94331667918*1.0108</f>
        <v>1946.7435044993151</v>
      </c>
      <c r="J13" s="18"/>
      <c r="K13" s="18">
        <f t="shared" si="7"/>
        <v>1697.9688645628128</v>
      </c>
      <c r="L13" s="18"/>
      <c r="M13" s="18"/>
      <c r="N13" s="18">
        <v>-6425.5920507107703</v>
      </c>
      <c r="O13" s="18"/>
      <c r="P13" s="65">
        <f t="shared" si="5"/>
        <v>-2780.8796816486424</v>
      </c>
      <c r="Q13" s="132"/>
      <c r="R13" s="136">
        <f>1272*1.0276*1.0091*1.0182*1.0155*1.0184*1.0123*1.0203*1.0165</f>
        <v>1458.2142254856681</v>
      </c>
      <c r="S13" s="137">
        <f>-257*1.006*1.0089*1.0057*1.0276*1.0091*1.0182*1.0155*1.0184*1.0123*1.0203*1.0165</f>
        <v>-300.73356011715617</v>
      </c>
      <c r="T13" s="140">
        <f>-574*1.0276*1.0091*1.0182*1.0155*1.0184*1.0123*1.0203*1.0165</f>
        <v>-658.03063319872138</v>
      </c>
      <c r="U13" s="22"/>
      <c r="V13" s="50" t="s">
        <v>57</v>
      </c>
      <c r="W13" s="160">
        <v>2.3701995174046021E-2</v>
      </c>
      <c r="X13" s="161">
        <v>2.5999390154924473E-2</v>
      </c>
      <c r="Y13" s="160">
        <v>4.3378995433789952E-2</v>
      </c>
      <c r="Z13" s="160">
        <v>3.9387848776616906E-2</v>
      </c>
      <c r="AA13" s="162">
        <v>4.7779422020377271E-2</v>
      </c>
      <c r="AB13" s="71">
        <f>SUM(W13*'Översikt fördelning'!$C$27)</f>
        <v>32255.043538340462</v>
      </c>
      <c r="AC13" s="5">
        <f>SUM(X13*'Översikt fördelning'!$C$28)</f>
        <v>6153.2993522230108</v>
      </c>
      <c r="AD13" s="5">
        <f>SUM(Y13*'Översikt fördelning'!$C$29)</f>
        <v>8213.2370924790266</v>
      </c>
      <c r="AE13" s="5">
        <f>SUM(Z13*'Översikt fördelning'!$C$30)</f>
        <v>12118.545465641304</v>
      </c>
      <c r="AF13" s="5">
        <f>SUM(AA13*'Översikt fördelning'!$C$31)</f>
        <v>13004.199234599166</v>
      </c>
      <c r="AG13" s="72">
        <f t="shared" si="0"/>
        <v>71744.324683282961</v>
      </c>
      <c r="AI13" s="3" t="s">
        <v>57</v>
      </c>
      <c r="AJ13" s="4">
        <f t="shared" si="1"/>
        <v>-2780.8796816486424</v>
      </c>
      <c r="AK13" s="4">
        <f t="shared" si="6"/>
        <v>42959</v>
      </c>
      <c r="AL13" s="4"/>
      <c r="AM13" s="18">
        <v>304.56799992237939</v>
      </c>
      <c r="AN13" s="4">
        <f t="shared" si="2"/>
        <v>71744.324683282961</v>
      </c>
      <c r="AO13" s="164">
        <f t="shared" si="3"/>
        <v>112227.0130015567</v>
      </c>
      <c r="AP13" s="70">
        <f t="shared" si="4"/>
        <v>3.2128006158835251E-2</v>
      </c>
      <c r="AQ13" s="159">
        <v>3366</v>
      </c>
      <c r="AR13" s="150"/>
    </row>
    <row r="14" spans="1:44" ht="11.25">
      <c r="A14" s="50" t="s">
        <v>58</v>
      </c>
      <c r="B14" s="163">
        <v>6700</v>
      </c>
      <c r="C14" s="4"/>
      <c r="D14" s="18"/>
      <c r="E14" s="18"/>
      <c r="F14" s="18"/>
      <c r="G14" s="18"/>
      <c r="H14" s="18"/>
      <c r="I14" s="18">
        <f>962.971658339592*1.0108</f>
        <v>973.37175224965949</v>
      </c>
      <c r="J14" s="18"/>
      <c r="K14" s="18">
        <f t="shared" si="7"/>
        <v>1697.9688645628128</v>
      </c>
      <c r="L14" s="18"/>
      <c r="M14" s="18"/>
      <c r="N14" s="18">
        <v>-2596.3337243597884</v>
      </c>
      <c r="O14" s="18"/>
      <c r="P14" s="65">
        <f t="shared" si="5"/>
        <v>6775.0068924526822</v>
      </c>
      <c r="Q14" s="132"/>
      <c r="R14" s="136">
        <f>-872*1.0276*1.0091*1.0182*1.0155*1.0184*1.0123*1.0203*1.0165</f>
        <v>-999.65629294300516</v>
      </c>
      <c r="S14" s="137">
        <f>-128*1.006*1.0089*1.0057*1.0276*1.0091*1.0182*1.0155*1.0184*1.0123*1.0203*1.0165</f>
        <v>-149.78169531126838</v>
      </c>
      <c r="T14" s="140">
        <f>-352*1.0276*1.0091*1.0182*1.0155*1.0184*1.0123*1.0203*1.0165</f>
        <v>-403.53098063754328</v>
      </c>
      <c r="U14" s="22"/>
      <c r="V14" s="50" t="s">
        <v>58</v>
      </c>
      <c r="W14" s="160">
        <v>5.7926863048020118E-3</v>
      </c>
      <c r="X14" s="161">
        <v>7.0736530634143441E-3</v>
      </c>
      <c r="Y14" s="160">
        <v>4.5662100456621002E-3</v>
      </c>
      <c r="Z14" s="160">
        <v>9.2307250970253829E-3</v>
      </c>
      <c r="AA14" s="162">
        <v>2.1891105781497167E-2</v>
      </c>
      <c r="AB14" s="71">
        <f>SUM(W14*'Översikt fördelning'!$C$27)</f>
        <v>7883.0219816234376</v>
      </c>
      <c r="AC14" s="5">
        <f>SUM(X14*'Översikt fördelning'!$C$28)</f>
        <v>1674.1279142931589</v>
      </c>
      <c r="AD14" s="5">
        <f>SUM(Y14*'Översikt fördelning'!$C$29)</f>
        <v>864.55127289252925</v>
      </c>
      <c r="AE14" s="5">
        <f>SUM(Z14*'Översikt fördelning'!$C$30)</f>
        <v>2840.0373527265901</v>
      </c>
      <c r="AF14" s="5">
        <f>SUM(AA14*'Översikt fördelning'!$C$31)</f>
        <v>5958.1361391702121</v>
      </c>
      <c r="AG14" s="72">
        <f t="shared" si="0"/>
        <v>19219.874660705929</v>
      </c>
      <c r="AI14" s="3" t="s">
        <v>58</v>
      </c>
      <c r="AJ14" s="4">
        <f t="shared" si="1"/>
        <v>6775.0068924526822</v>
      </c>
      <c r="AK14" s="4">
        <f t="shared" si="6"/>
        <v>42959</v>
      </c>
      <c r="AL14" s="4"/>
      <c r="AM14" s="18">
        <v>276.7891452108791</v>
      </c>
      <c r="AN14" s="4">
        <f t="shared" si="2"/>
        <v>19219.874660705929</v>
      </c>
      <c r="AO14" s="164">
        <f t="shared" si="3"/>
        <v>69230.670698369504</v>
      </c>
      <c r="AP14" s="70">
        <f t="shared" si="4"/>
        <v>1.981914474144169E-2</v>
      </c>
      <c r="AQ14" s="159">
        <v>2076</v>
      </c>
      <c r="AR14" s="150"/>
    </row>
    <row r="15" spans="1:44" ht="11.25">
      <c r="A15" s="50" t="s">
        <v>59</v>
      </c>
      <c r="B15" s="128"/>
      <c r="C15" s="4"/>
      <c r="D15" s="18"/>
      <c r="E15" s="18"/>
      <c r="F15" s="18"/>
      <c r="G15" s="18"/>
      <c r="H15" s="18">
        <f>-5438.94781099043*1.0108</f>
        <v>-5497.6884473491264</v>
      </c>
      <c r="I15" s="18">
        <f>962.971658339592*1.0108</f>
        <v>973.37175224965949</v>
      </c>
      <c r="J15" s="18"/>
      <c r="K15" s="18">
        <f t="shared" si="7"/>
        <v>1697.9688645628128</v>
      </c>
      <c r="L15" s="18"/>
      <c r="M15" s="18"/>
      <c r="N15" s="18">
        <v>-3575.4813457744613</v>
      </c>
      <c r="O15" s="18"/>
      <c r="P15" s="65">
        <f t="shared" si="5"/>
        <v>-6401.8291763111156</v>
      </c>
      <c r="Q15" s="132"/>
      <c r="R15" s="136">
        <f>-1610*1.0276*1.0091*1.0182*1.0155*1.0184*1.0123*1.0203*1.0165</f>
        <v>-1845.695678484218</v>
      </c>
      <c r="S15" s="137">
        <f>-76*1.006*1.0089*1.0057*1.0276*1.0091*1.0182*1.0155*1.0184*1.0123*1.0203*1.0165</f>
        <v>-88.932881591065637</v>
      </c>
      <c r="T15" s="140">
        <f>-363*1.0276*1.0091*1.0182*1.0155*1.0184*1.0123*1.0203*1.0165</f>
        <v>-416.14132378246643</v>
      </c>
      <c r="U15" s="22"/>
      <c r="V15" s="50" t="s">
        <v>59</v>
      </c>
      <c r="W15" s="160">
        <v>1.5324354881521337E-2</v>
      </c>
      <c r="X15" s="161">
        <v>6.7942990504042122E-3</v>
      </c>
      <c r="Y15" s="160">
        <v>1.5981735159817351E-2</v>
      </c>
      <c r="Z15" s="160">
        <v>2.2116839258377711E-2</v>
      </c>
      <c r="AA15" s="162">
        <v>2.1057644877617323E-2</v>
      </c>
      <c r="AB15" s="71">
        <f>SUM(W15*'Översikt fördelning'!$C$27)</f>
        <v>20854.266920183247</v>
      </c>
      <c r="AC15" s="5">
        <f>SUM(X15*'Översikt fördelning'!$C$28)</f>
        <v>1608.0129455553033</v>
      </c>
      <c r="AD15" s="5">
        <f>SUM(Y15*'Översikt fördelning'!$C$29)</f>
        <v>3025.9294551238522</v>
      </c>
      <c r="AE15" s="5">
        <f>SUM(Z15*'Översikt fördelning'!$C$30)</f>
        <v>6804.7362431239599</v>
      </c>
      <c r="AF15" s="5">
        <f>SUM(AA15*'Översikt fördelning'!$C$31)</f>
        <v>5731.2917950992405</v>
      </c>
      <c r="AG15" s="72">
        <f t="shared" si="0"/>
        <v>38024.2373590856</v>
      </c>
      <c r="AI15" s="3" t="s">
        <v>59</v>
      </c>
      <c r="AJ15" s="4">
        <f t="shared" si="1"/>
        <v>-6401.8291763111156</v>
      </c>
      <c r="AK15" s="4">
        <f t="shared" si="6"/>
        <v>42959</v>
      </c>
      <c r="AL15" s="4">
        <v>800</v>
      </c>
      <c r="AM15" s="18">
        <v>279.53046221272479</v>
      </c>
      <c r="AN15" s="4">
        <f t="shared" si="2"/>
        <v>38024.2373590856</v>
      </c>
      <c r="AO15" s="164">
        <f t="shared" si="3"/>
        <v>75660.938644987211</v>
      </c>
      <c r="AP15" s="70">
        <f t="shared" si="4"/>
        <v>2.1659982189276363E-2</v>
      </c>
      <c r="AQ15" s="159">
        <v>2269</v>
      </c>
      <c r="AR15" s="150"/>
    </row>
    <row r="16" spans="1:44" ht="11.25">
      <c r="A16" s="50" t="s">
        <v>60</v>
      </c>
      <c r="B16" s="128"/>
      <c r="C16" s="4">
        <f>3000</f>
        <v>3000</v>
      </c>
      <c r="D16" s="18"/>
      <c r="E16" s="18"/>
      <c r="F16" s="18"/>
      <c r="G16" s="18">
        <f>6694.669*1.0108</f>
        <v>6766.9714251999994</v>
      </c>
      <c r="H16" s="18">
        <f>5438.94781099043*1.0108</f>
        <v>5497.6884473491264</v>
      </c>
      <c r="I16" s="18">
        <f>962.971658339592*1.0108</f>
        <v>973.37175224965949</v>
      </c>
      <c r="J16" s="18"/>
      <c r="K16" s="18">
        <f>2519.740103724*1.0108</f>
        <v>2546.953296844219</v>
      </c>
      <c r="L16" s="18">
        <f>4432.9565*1.0108</f>
        <v>4480.8324302000001</v>
      </c>
      <c r="M16" s="18">
        <f>3000*1.0108</f>
        <v>3032.3999999999996</v>
      </c>
      <c r="N16" s="18">
        <v>-6781.0853109515647</v>
      </c>
      <c r="O16" s="18">
        <v>500</v>
      </c>
      <c r="P16" s="65">
        <f t="shared" si="5"/>
        <v>20017.13204089144</v>
      </c>
      <c r="Q16" s="132"/>
      <c r="R16" s="136">
        <f>1610*1.0276*1.0091*1.0182*1.0155*1.0184*1.0123*1.0203*1.0165</f>
        <v>1845.695678484218</v>
      </c>
      <c r="S16" s="137">
        <f>339*1.006*1.0089*1.0057*1.0276*1.0091*1.0182*1.0155*1.0184*1.0123*1.0203*1.0165</f>
        <v>396.68745867593748</v>
      </c>
      <c r="T16" s="140">
        <f>914*1.0276*1.0091*1.0182*1.0155*1.0184*1.0123*1.0203*1.0165</f>
        <v>1047.8048758599846</v>
      </c>
      <c r="U16" s="22"/>
      <c r="V16" s="50" t="s">
        <v>60</v>
      </c>
      <c r="W16" s="160">
        <v>0.13385649025295071</v>
      </c>
      <c r="X16" s="161">
        <v>2.5261814206180785E-2</v>
      </c>
      <c r="Y16" s="160">
        <v>0.1095890410958904</v>
      </c>
      <c r="Z16" s="160">
        <v>0.12134919901089813</v>
      </c>
      <c r="AA16" s="162">
        <v>0.12898232722695652</v>
      </c>
      <c r="AB16" s="71">
        <f>SUM(W16*'Översikt fördelning'!$C$27)</f>
        <v>182159.64054056254</v>
      </c>
      <c r="AC16" s="5">
        <f>SUM(X16*'Översikt fördelning'!$C$28)</f>
        <v>5978.7365805358386</v>
      </c>
      <c r="AD16" s="5">
        <f>SUM(Y16*'Översikt fördelning'!$C$29)</f>
        <v>20749.230549420699</v>
      </c>
      <c r="AE16" s="5">
        <f>SUM(Z16*'Översikt fördelning'!$C$30)</f>
        <v>37335.77311553379</v>
      </c>
      <c r="AF16" s="5">
        <f>SUM(AA16*'Översikt fördelning'!$C$31)</f>
        <v>35105.319614085252</v>
      </c>
      <c r="AG16" s="72">
        <f>SUM(AB16:AF16)</f>
        <v>281328.7004001381</v>
      </c>
      <c r="AI16" s="3" t="s">
        <v>60</v>
      </c>
      <c r="AJ16" s="4">
        <f t="shared" si="1"/>
        <v>20017.13204089144</v>
      </c>
      <c r="AK16" s="4">
        <f t="shared" si="6"/>
        <v>42959</v>
      </c>
      <c r="AL16" s="4"/>
      <c r="AM16" s="18">
        <v>-152.856605785375</v>
      </c>
      <c r="AN16" s="4">
        <f t="shared" si="2"/>
        <v>281328.7004001381</v>
      </c>
      <c r="AO16" s="164">
        <f t="shared" si="3"/>
        <v>344151.97583524417</v>
      </c>
      <c r="AP16" s="70">
        <f t="shared" si="4"/>
        <v>9.8522775430694876E-2</v>
      </c>
      <c r="AQ16" s="159">
        <v>10324</v>
      </c>
      <c r="AR16" s="150"/>
    </row>
    <row r="17" spans="1:44" ht="11.25">
      <c r="A17" s="50" t="s">
        <v>61</v>
      </c>
      <c r="B17" s="128"/>
      <c r="C17" s="4"/>
      <c r="D17" s="18"/>
      <c r="E17" s="18"/>
      <c r="F17" s="18"/>
      <c r="G17" s="18"/>
      <c r="H17" s="18"/>
      <c r="I17" s="18">
        <f>962.971658339592*1.0108</f>
        <v>973.37175224965949</v>
      </c>
      <c r="J17" s="18"/>
      <c r="K17" s="18">
        <f>1679.826735816*1.0108</f>
        <v>1697.9688645628128</v>
      </c>
      <c r="L17" s="18"/>
      <c r="M17" s="18"/>
      <c r="N17" s="18">
        <v>-2476.1235756656465</v>
      </c>
      <c r="O17" s="18"/>
      <c r="P17" s="65">
        <f t="shared" si="5"/>
        <v>195.21704114682552</v>
      </c>
      <c r="Q17" s="132"/>
      <c r="R17" s="136"/>
      <c r="S17" s="137">
        <f>-203*1.006*1.0089*1.0057*1.0276*1.0091*1.0182*1.0155*1.0184*1.0123*1.0203*1.0165</f>
        <v>-237.54440740771474</v>
      </c>
      <c r="T17" s="140">
        <f>-645*1.0276*1.0091*1.0182*1.0155*1.0184*1.0123*1.0203*1.0165</f>
        <v>-739.42466622504378</v>
      </c>
      <c r="U17" s="22"/>
      <c r="V17" s="50" t="s">
        <v>61</v>
      </c>
      <c r="W17" s="160">
        <v>3.2444207434127272E-2</v>
      </c>
      <c r="X17" s="161">
        <v>1.2711401020832293E-2</v>
      </c>
      <c r="Y17" s="160">
        <v>2.2831050228310501E-2</v>
      </c>
      <c r="Z17" s="160">
        <v>3.2618369798175395E-2</v>
      </c>
      <c r="AA17" s="162">
        <v>4.8323723018829409E-2</v>
      </c>
      <c r="AB17" s="71">
        <f>SUM(W17*'Översikt fördelning'!$C$27)</f>
        <v>44151.950739600325</v>
      </c>
      <c r="AC17" s="5">
        <f>SUM(X17*'Översikt fördelning'!$C$28)</f>
        <v>3008.4188591061775</v>
      </c>
      <c r="AD17" s="5">
        <f>SUM(Y17*'Översikt fördelning'!$C$29)</f>
        <v>4322.7563644626462</v>
      </c>
      <c r="AE17" s="5">
        <f>SUM(Z17*'Översikt fördelning'!$C$30)</f>
        <v>10035.765082173184</v>
      </c>
      <c r="AF17" s="5">
        <f>SUM(AA17*'Översikt fördelning'!$C$31)</f>
        <v>13152.342479706738</v>
      </c>
      <c r="AG17" s="72">
        <f t="shared" si="0"/>
        <v>74671.233525049072</v>
      </c>
      <c r="AI17" s="3" t="s">
        <v>61</v>
      </c>
      <c r="AJ17" s="4">
        <f t="shared" si="1"/>
        <v>195.21704114682552</v>
      </c>
      <c r="AK17" s="4">
        <f t="shared" si="6"/>
        <v>42959</v>
      </c>
      <c r="AL17" s="4"/>
      <c r="AM17" s="18">
        <v>-473.66855404033168</v>
      </c>
      <c r="AN17" s="4">
        <f t="shared" si="2"/>
        <v>74671.233525049072</v>
      </c>
      <c r="AO17" s="164">
        <f t="shared" si="3"/>
        <v>117351.78201215557</v>
      </c>
      <c r="AP17" s="70">
        <f t="shared" si="4"/>
        <v>3.3595109362703331E-2</v>
      </c>
      <c r="AQ17" s="159">
        <v>3520</v>
      </c>
      <c r="AR17" s="150"/>
    </row>
    <row r="18" spans="1:44" ht="11.25">
      <c r="A18" s="50" t="s">
        <v>62</v>
      </c>
      <c r="B18" s="18">
        <f>(987.3524724*1.0108)+(3000)</f>
        <v>3998.0158791019198</v>
      </c>
      <c r="C18" s="4">
        <f>15000</f>
        <v>15000</v>
      </c>
      <c r="D18" s="18"/>
      <c r="E18" s="18">
        <f>977.430827459165*1.0108</f>
        <v>987.98708039572386</v>
      </c>
      <c r="F18" s="18"/>
      <c r="G18" s="18">
        <f>6694.669*1.0108</f>
        <v>6766.9714251999994</v>
      </c>
      <c r="H18" s="18"/>
      <c r="I18" s="18">
        <f>2751.34759525598*1.0108</f>
        <v>2781.0621492847445</v>
      </c>
      <c r="J18" s="18">
        <f>2327.3308278*1.0108</f>
        <v>2352.4660007402399</v>
      </c>
      <c r="K18" s="18">
        <f>2519.740103724*1.0108</f>
        <v>2546.953296844219</v>
      </c>
      <c r="L18" s="18">
        <f>4432.9565*1.0108</f>
        <v>4480.8324302000001</v>
      </c>
      <c r="M18" s="18">
        <f>4000*1.0108</f>
        <v>4043.2</v>
      </c>
      <c r="N18" s="18">
        <v>-8198.948603241437</v>
      </c>
      <c r="O18" s="18">
        <v>500</v>
      </c>
      <c r="P18" s="65">
        <f>SUM(B18:O18)</f>
        <v>35258.539658525413</v>
      </c>
      <c r="Q18" s="132"/>
      <c r="R18" s="136"/>
      <c r="S18" s="137">
        <f>303*1.006*1.0089*1.0057*1.0276*1.0091*1.0182*1.0155*1.0184*1.0123*1.0203*1.0165</f>
        <v>354.56135686964313</v>
      </c>
      <c r="T18" s="140">
        <f>645*1.0276*1.0091*1.0182*1.0155*1.0184*1.0123*1.0203*1.0165</f>
        <v>739.42466622504378</v>
      </c>
      <c r="U18" s="22"/>
      <c r="V18" s="50" t="s">
        <v>62</v>
      </c>
      <c r="W18" s="160">
        <v>0.16710605103718509</v>
      </c>
      <c r="X18" s="161">
        <v>6.4318763870896745E-2</v>
      </c>
      <c r="Y18" s="160">
        <v>0.16894977168949771</v>
      </c>
      <c r="Z18" s="160">
        <v>0.14199373941306689</v>
      </c>
      <c r="AA18" s="162">
        <v>0.19298872276368831</v>
      </c>
      <c r="AB18" s="71">
        <f>SUM(W18*'Översikt fördelning'!$C$27)</f>
        <v>227407.5626184702</v>
      </c>
      <c r="AC18" s="5">
        <f>SUM(X18*'Översikt fördelning'!$C$28)</f>
        <v>15222.380436781574</v>
      </c>
      <c r="AD18" s="5">
        <f>SUM(Y18*'Översikt fördelning'!$C$29)</f>
        <v>31988.397097023582</v>
      </c>
      <c r="AE18" s="5">
        <f>SUM(Z18*'Översikt fördelning'!$C$30)</f>
        <v>43687.52395371296</v>
      </c>
      <c r="AF18" s="5">
        <f>SUM(AA18*'Översikt fördelning'!$C$31)</f>
        <v>52526.039343453944</v>
      </c>
      <c r="AG18" s="72">
        <f t="shared" si="0"/>
        <v>370831.90344944224</v>
      </c>
      <c r="AI18" s="3" t="s">
        <v>62</v>
      </c>
      <c r="AJ18" s="4">
        <f t="shared" si="1"/>
        <v>35258.539658525413</v>
      </c>
      <c r="AK18" s="4">
        <f t="shared" si="6"/>
        <v>42959</v>
      </c>
      <c r="AL18" s="18">
        <v>5000</v>
      </c>
      <c r="AM18" s="18">
        <v>-546.77908201622392</v>
      </c>
      <c r="AN18" s="4">
        <f t="shared" si="2"/>
        <v>370831.90344944224</v>
      </c>
      <c r="AO18" s="164">
        <f t="shared" si="3"/>
        <v>453502.66402595141</v>
      </c>
      <c r="AP18" s="70">
        <f>AO18/$AO$28</f>
        <v>0.12982735611676538</v>
      </c>
      <c r="AQ18" s="159">
        <v>13605</v>
      </c>
      <c r="AR18" s="150"/>
    </row>
    <row r="19" spans="1:44" ht="11.25">
      <c r="A19" s="50" t="s">
        <v>63</v>
      </c>
      <c r="B19" s="18">
        <v>5700</v>
      </c>
      <c r="C19" s="4"/>
      <c r="D19" s="18"/>
      <c r="E19" s="18">
        <f>1313.42267439825*1.0108</f>
        <v>1327.6076392817508</v>
      </c>
      <c r="F19" s="18"/>
      <c r="G19" s="18"/>
      <c r="H19" s="18"/>
      <c r="I19" s="18"/>
      <c r="J19" s="18"/>
      <c r="K19" s="18">
        <f>1679.826735816*1.0108</f>
        <v>1697.9688645628128</v>
      </c>
      <c r="L19" s="18"/>
      <c r="M19" s="18"/>
      <c r="N19" s="18">
        <v>-4225.8490733248154</v>
      </c>
      <c r="O19" s="18"/>
      <c r="P19" s="65">
        <f t="shared" si="5"/>
        <v>4499.727430519747</v>
      </c>
      <c r="Q19" s="132"/>
      <c r="R19" s="136">
        <f>-1493*1.0276*1.0091*1.0182*1.0155*1.0184*1.0123*1.0203*1.0165</f>
        <v>-1711.5674832154889</v>
      </c>
      <c r="S19" s="137">
        <f>-649*1.006*1.0089*1.0057*1.0276*1.0091*1.0182*1.0155*1.0184*1.0123*1.0203*1.0165</f>
        <v>-759.44000200791584</v>
      </c>
      <c r="T19" s="140">
        <f>-872*1.0276*1.0091*1.0182*1.0155*1.0184*1.0123*1.0203*1.0165</f>
        <v>-999.65629294300516</v>
      </c>
      <c r="U19" s="22"/>
      <c r="V19" s="50" t="s">
        <v>63</v>
      </c>
      <c r="W19" s="160">
        <v>2.7254741290232139E-2</v>
      </c>
      <c r="X19" s="161">
        <v>4.8698764358576119E-2</v>
      </c>
      <c r="Y19" s="160">
        <v>5.4794520547945202E-2</v>
      </c>
      <c r="Z19" s="160">
        <v>4.973649713264286E-2</v>
      </c>
      <c r="AA19" s="162">
        <v>5.0466908200234729E-2</v>
      </c>
      <c r="AB19" s="71">
        <f>SUM(W19*'Översikt fördelning'!$C$27)</f>
        <v>37089.825581657016</v>
      </c>
      <c r="AC19" s="5">
        <f>SUM(X19*'Översikt fördelning'!$C$28)</f>
        <v>11525.580923094463</v>
      </c>
      <c r="AD19" s="5">
        <f>SUM(Y19*'Översikt fördelning'!$C$29)</f>
        <v>10374.61527471035</v>
      </c>
      <c r="AE19" s="5">
        <f>SUM(Z19*'Översikt fördelning'!$C$30)</f>
        <v>15302.536709278002</v>
      </c>
      <c r="AF19" s="5">
        <f>SUM(AA19*'Översikt fördelning'!$C$31)</f>
        <v>13735.656507317808</v>
      </c>
      <c r="AG19" s="72">
        <f t="shared" si="0"/>
        <v>88028.214996057635</v>
      </c>
      <c r="AI19" s="3" t="s">
        <v>63</v>
      </c>
      <c r="AJ19" s="4">
        <f t="shared" si="1"/>
        <v>4499.727430519747</v>
      </c>
      <c r="AK19" s="4">
        <f t="shared" si="6"/>
        <v>42959</v>
      </c>
      <c r="AL19" s="4"/>
      <c r="AM19" s="18">
        <v>-48.677245861355914</v>
      </c>
      <c r="AN19" s="4">
        <f t="shared" si="2"/>
        <v>88028.214996057635</v>
      </c>
      <c r="AO19" s="164">
        <f t="shared" si="3"/>
        <v>135438.26518071603</v>
      </c>
      <c r="AP19" s="70">
        <f t="shared" si="4"/>
        <v>3.8772852466523802E-2</v>
      </c>
      <c r="AQ19" s="159">
        <v>4063</v>
      </c>
      <c r="AR19" s="150"/>
    </row>
    <row r="20" spans="1:44" ht="11.25">
      <c r="A20" s="50" t="s">
        <v>64</v>
      </c>
      <c r="B20" s="18">
        <f>(983.253764263348*1.0108)+(9239.047046988*1.0108)+(520*1.0108)</f>
        <v>10858.317660012863</v>
      </c>
      <c r="C20" s="4"/>
      <c r="D20" s="18"/>
      <c r="E20" s="18">
        <f>1313.42267439825*1.0108</f>
        <v>1327.6076392817508</v>
      </c>
      <c r="F20" s="18"/>
      <c r="G20" s="18"/>
      <c r="H20" s="18"/>
      <c r="I20" s="18"/>
      <c r="J20" s="18"/>
      <c r="K20" s="18">
        <f t="shared" ref="K20:K27" si="8">1679.826735816*1.0108</f>
        <v>1697.9688645628128</v>
      </c>
      <c r="L20" s="18"/>
      <c r="M20" s="18"/>
      <c r="N20" s="18">
        <v>-3494.3138094767078</v>
      </c>
      <c r="O20" s="18"/>
      <c r="P20" s="65">
        <f>SUM(B20:O20)</f>
        <v>10389.580354380718</v>
      </c>
      <c r="Q20" s="132"/>
      <c r="R20" s="136">
        <f>1493*1.0276*1.0091*1.0182*1.0155*1.0184*1.0123*1.0203*1.0165</f>
        <v>1711.5674832154889</v>
      </c>
      <c r="S20" s="137">
        <f>-147*1.006*1.0089*1.0057*1.0276*1.0091*1.0182*1.0155*1.0184*1.0123*1.0203*1.0165</f>
        <v>-172.0149157090348</v>
      </c>
      <c r="T20" s="140">
        <f>-601*1.0276*1.0091*1.0182*1.0155*1.0184*1.0123*1.0203*1.0165</f>
        <v>-688.98329364535084</v>
      </c>
      <c r="U20" s="22"/>
      <c r="V20" s="50" t="s">
        <v>64</v>
      </c>
      <c r="W20" s="160">
        <v>2.9447375761070479E-2</v>
      </c>
      <c r="X20" s="161">
        <v>2.152950244567186E-2</v>
      </c>
      <c r="Y20" s="160">
        <v>4.3378995433789952E-2</v>
      </c>
      <c r="Z20" s="160">
        <v>4.1285729545645862E-2</v>
      </c>
      <c r="AA20" s="162">
        <v>3.6127978772261059E-2</v>
      </c>
      <c r="AB20" s="71">
        <f>SUM(W20*'Översikt fördelning'!$C$27)</f>
        <v>40073.689167875265</v>
      </c>
      <c r="AC20" s="5">
        <f>SUM(X20*'Översikt fördelning'!$C$28)</f>
        <v>5095.4069562106324</v>
      </c>
      <c r="AD20" s="5">
        <f>SUM(Y20*'Översikt fördelning'!$C$29)</f>
        <v>8213.2370924790266</v>
      </c>
      <c r="AE20" s="5">
        <f>SUM(Z20*'Översikt fördelning'!$C$30)</f>
        <v>12702.470587276728</v>
      </c>
      <c r="AF20" s="5">
        <f>SUM(AA20*'Översikt fördelning'!$C$31)</f>
        <v>9833.0078940151743</v>
      </c>
      <c r="AG20" s="72">
        <f t="shared" si="0"/>
        <v>75917.811697856814</v>
      </c>
      <c r="AI20" s="3" t="s">
        <v>64</v>
      </c>
      <c r="AJ20" s="4">
        <f t="shared" si="1"/>
        <v>10389.580354380718</v>
      </c>
      <c r="AK20" s="4">
        <f t="shared" si="6"/>
        <v>42959</v>
      </c>
      <c r="AL20" s="4">
        <f>1000+400+20200+900+10500</f>
        <v>33000</v>
      </c>
      <c r="AM20" s="18">
        <v>-902.1905669620561</v>
      </c>
      <c r="AN20" s="4">
        <f t="shared" si="2"/>
        <v>75917.811697856814</v>
      </c>
      <c r="AO20" s="164">
        <f>SUM(AJ20:AN20)</f>
        <v>161364.20148527547</v>
      </c>
      <c r="AP20" s="70">
        <f t="shared" si="4"/>
        <v>4.6194850245747439E-2</v>
      </c>
      <c r="AQ20" s="159">
        <v>4840</v>
      </c>
      <c r="AR20" s="150"/>
    </row>
    <row r="21" spans="1:44" ht="11.25">
      <c r="A21" s="50" t="s">
        <v>65</v>
      </c>
      <c r="B21" s="128"/>
      <c r="C21" s="4"/>
      <c r="D21" s="18"/>
      <c r="E21" s="18">
        <f>977.430827459165*1.0108</f>
        <v>987.98708039572386</v>
      </c>
      <c r="F21" s="18"/>
      <c r="G21" s="18"/>
      <c r="H21" s="18"/>
      <c r="I21" s="18"/>
      <c r="J21" s="18"/>
      <c r="K21" s="18">
        <f t="shared" si="8"/>
        <v>1697.9688645628128</v>
      </c>
      <c r="L21" s="18"/>
      <c r="M21" s="18"/>
      <c r="N21" s="18">
        <v>-4884.4362982217781</v>
      </c>
      <c r="O21" s="18"/>
      <c r="P21" s="65">
        <f t="shared" si="5"/>
        <v>-2198.4803532632413</v>
      </c>
      <c r="Q21" s="132"/>
      <c r="R21" s="136">
        <f>-1248*1.0276*1.0091*1.0182*1.0155*1.0184*1.0123*1.0203*1.0165</f>
        <v>-1430.7007495331077</v>
      </c>
      <c r="S21" s="137">
        <f>-222*1.006*1.0089*1.0057*1.0276*1.0091*1.0182*1.0155*1.0184*1.0123*1.0203*1.0165</f>
        <v>-259.77762780548113</v>
      </c>
      <c r="T21" s="140">
        <f>-382*1.0276*1.0091*1.0182*1.0155*1.0184*1.0123*1.0203*1.0165</f>
        <v>-437.92282557824296</v>
      </c>
      <c r="U21" s="22"/>
      <c r="V21" s="50" t="s">
        <v>65</v>
      </c>
      <c r="W21" s="160">
        <v>2.6701331834194906E-2</v>
      </c>
      <c r="X21" s="161">
        <v>1.2647502059059674E-2</v>
      </c>
      <c r="Y21" s="160">
        <v>2.7397260273972601E-2</v>
      </c>
      <c r="Z21" s="160">
        <v>3.1332891842668152E-2</v>
      </c>
      <c r="AA21" s="162">
        <v>2.5207939990814922E-2</v>
      </c>
      <c r="AB21" s="71">
        <f>SUM(W21*'Översikt fördelning'!$C$27)</f>
        <v>36336.714041133346</v>
      </c>
      <c r="AC21" s="5">
        <f>SUM(X21*'Översikt fördelning'!$C$28)</f>
        <v>2993.2958336144156</v>
      </c>
      <c r="AD21" s="5">
        <f>SUM(Y21*'Översikt fördelning'!$C$29)</f>
        <v>5187.3076373551748</v>
      </c>
      <c r="AE21" s="5">
        <f>SUM(Z21*'Översikt fördelning'!$C$30)</f>
        <v>9640.2592718090928</v>
      </c>
      <c r="AF21" s="5">
        <f>SUM(AA21*'Översikt fördelning'!$C$31)</f>
        <v>6860.8840390444875</v>
      </c>
      <c r="AG21" s="72">
        <f t="shared" si="0"/>
        <v>61018.460822956513</v>
      </c>
      <c r="AI21" s="3" t="s">
        <v>65</v>
      </c>
      <c r="AJ21" s="4">
        <f t="shared" si="1"/>
        <v>-2198.4803532632413</v>
      </c>
      <c r="AK21" s="4">
        <f t="shared" si="6"/>
        <v>42959</v>
      </c>
      <c r="AL21" s="4">
        <v>35000</v>
      </c>
      <c r="AM21" s="18">
        <v>-202.16390282310022</v>
      </c>
      <c r="AN21" s="4">
        <f t="shared" si="2"/>
        <v>61018.460822956513</v>
      </c>
      <c r="AO21" s="164">
        <f t="shared" si="3"/>
        <v>136576.81656687017</v>
      </c>
      <c r="AP21" s="70">
        <f t="shared" si="4"/>
        <v>3.9098793476341133E-2</v>
      </c>
      <c r="AQ21" s="159">
        <v>4097</v>
      </c>
      <c r="AR21" s="150"/>
    </row>
    <row r="22" spans="1:44" ht="11.25">
      <c r="A22" s="50" t="s">
        <v>66</v>
      </c>
      <c r="B22" s="128"/>
      <c r="C22" s="4"/>
      <c r="D22" s="18"/>
      <c r="E22" s="18">
        <f t="shared" ref="E22:E27" si="9">1313.42267439825*1.0108</f>
        <v>1327.6076392817508</v>
      </c>
      <c r="F22" s="18"/>
      <c r="G22" s="18"/>
      <c r="H22" s="18"/>
      <c r="I22" s="18"/>
      <c r="J22" s="18"/>
      <c r="K22" s="18">
        <f t="shared" si="8"/>
        <v>1697.9688645628128</v>
      </c>
      <c r="L22" s="18"/>
      <c r="M22" s="18"/>
      <c r="N22" s="18">
        <v>-4745.7322804977684</v>
      </c>
      <c r="O22" s="18"/>
      <c r="P22" s="65">
        <f t="shared" si="5"/>
        <v>-1720.1557766532051</v>
      </c>
      <c r="Q22" s="132"/>
      <c r="R22" s="136">
        <f>1269*1.0276*1.0091*1.0182*1.0155*1.0184*1.0123*1.0203*1.0165</f>
        <v>1454.775040991598</v>
      </c>
      <c r="S22" s="137">
        <f>826*1.006*1.0089*1.0057*1.0276*1.0091*1.0182*1.0155*1.0184*1.0123*1.0203*1.0165</f>
        <v>966.56000255552908</v>
      </c>
      <c r="T22" s="140">
        <f>1952*1.0276*1.0091*1.0182*1.0155*1.0184*1.0123*1.0203*1.0165</f>
        <v>2237.7627108081942</v>
      </c>
      <c r="U22" s="22"/>
      <c r="V22" s="50" t="s">
        <v>66</v>
      </c>
      <c r="W22" s="160">
        <v>2.7716333334778517E-2</v>
      </c>
      <c r="X22" s="161">
        <v>6.7547460624192507E-2</v>
      </c>
      <c r="Y22" s="160">
        <v>5.9360730593607303E-2</v>
      </c>
      <c r="Z22" s="160">
        <v>3.9058507743456199E-2</v>
      </c>
      <c r="AA22" s="162">
        <v>3.1263288598595021E-2</v>
      </c>
      <c r="AB22" s="71">
        <f>SUM(W22*'Översikt fördelning'!$C$27)</f>
        <v>37717.986687271376</v>
      </c>
      <c r="AC22" s="5">
        <f>SUM(X22*'Översikt fördelning'!$C$28)</f>
        <v>15986.519038579368</v>
      </c>
      <c r="AD22" s="5">
        <f>SUM(Y22*'Översikt fördelning'!$C$29)</f>
        <v>11239.166547602879</v>
      </c>
      <c r="AE22" s="5">
        <f>SUM(Z22*'Översikt fördelning'!$C$30)</f>
        <v>12017.216390608684</v>
      </c>
      <c r="AF22" s="5">
        <f>SUM(AA22*'Översikt fördelning'!$C$31)</f>
        <v>8508.9776408662383</v>
      </c>
      <c r="AG22" s="72">
        <f t="shared" si="0"/>
        <v>85469.866304928553</v>
      </c>
      <c r="AI22" s="3" t="s">
        <v>66</v>
      </c>
      <c r="AJ22" s="4">
        <f t="shared" si="1"/>
        <v>-1720.1557766532051</v>
      </c>
      <c r="AK22" s="4">
        <f t="shared" si="6"/>
        <v>42959</v>
      </c>
      <c r="AL22" s="4"/>
      <c r="AM22" s="18">
        <v>315.76945417441311</v>
      </c>
      <c r="AN22" s="4">
        <f t="shared" si="2"/>
        <v>85469.866304928553</v>
      </c>
      <c r="AO22" s="164">
        <f t="shared" si="3"/>
        <v>127024.47998244976</v>
      </c>
      <c r="AP22" s="70">
        <f t="shared" si="4"/>
        <v>3.6364179764299551E-2</v>
      </c>
      <c r="AQ22" s="159">
        <v>3810</v>
      </c>
      <c r="AR22" s="150"/>
    </row>
    <row r="23" spans="1:44" ht="11.25">
      <c r="A23" s="50" t="s">
        <v>67</v>
      </c>
      <c r="B23" s="128"/>
      <c r="C23" s="4"/>
      <c r="D23" s="18"/>
      <c r="E23" s="18">
        <f t="shared" si="9"/>
        <v>1327.6076392817508</v>
      </c>
      <c r="F23" s="18"/>
      <c r="G23" s="18"/>
      <c r="H23" s="18"/>
      <c r="I23" s="18">
        <f>962.971658339592*1.0108</f>
        <v>973.37175224965949</v>
      </c>
      <c r="J23" s="18"/>
      <c r="K23" s="18">
        <f t="shared" si="8"/>
        <v>1697.9688645628128</v>
      </c>
      <c r="L23" s="18">
        <f>3856.601*1.0108</f>
        <v>3898.2522907999996</v>
      </c>
      <c r="M23" s="18"/>
      <c r="N23" s="18">
        <v>-4756.0066521810286</v>
      </c>
      <c r="O23" s="18"/>
      <c r="P23" s="65">
        <f t="shared" si="5"/>
        <v>3141.1938947131939</v>
      </c>
      <c r="Q23" s="132"/>
      <c r="R23" s="136">
        <f>-1269*1.0276*1.0091*1.0182*1.0155*1.0184*1.0123*1.0203*1.0165</f>
        <v>-1454.775040991598</v>
      </c>
      <c r="S23" s="137">
        <f>-279*1.006*1.0089*1.0057*1.0276*1.0091*1.0182*1.0155*1.0184*1.0123*1.0203*1.0165</f>
        <v>-326.4772889987803</v>
      </c>
      <c r="T23" s="140">
        <f>-479*1.0276*1.0091*1.0182*1.0155*1.0184*1.0123*1.0203*1.0165</f>
        <v>-549.1231242198387</v>
      </c>
      <c r="U23" s="22"/>
      <c r="V23" s="50" t="s">
        <v>67</v>
      </c>
      <c r="W23" s="160">
        <v>2.769956919039299E-2</v>
      </c>
      <c r="X23" s="161">
        <v>4.3861619657421552E-2</v>
      </c>
      <c r="Y23" s="160">
        <v>3.8812785388127852E-2</v>
      </c>
      <c r="Z23" s="160">
        <v>4.3386522830991259E-2</v>
      </c>
      <c r="AA23" s="162">
        <v>3.2521984657515608E-2</v>
      </c>
      <c r="AB23" s="71">
        <f>SUM(W23*'Översikt fördelning'!$C$27)</f>
        <v>37695.173071663594</v>
      </c>
      <c r="AC23" s="5">
        <f>SUM(X23*'Översikt fördelning'!$C$28)</f>
        <v>10380.769480254301</v>
      </c>
      <c r="AD23" s="5">
        <f>SUM(Y23*'Översikt fördelning'!$C$29)</f>
        <v>7348.6858195864979</v>
      </c>
      <c r="AE23" s="5">
        <f>SUM(Z23*'Översikt fördelning'!$C$30)</f>
        <v>13348.826246016992</v>
      </c>
      <c r="AF23" s="5">
        <f>SUM(AA23*'Översikt fördelning'!$C$31)</f>
        <v>8851.5588951775026</v>
      </c>
      <c r="AG23" s="72">
        <f t="shared" si="0"/>
        <v>77625.013512698875</v>
      </c>
      <c r="AI23" s="3" t="s">
        <v>67</v>
      </c>
      <c r="AJ23" s="4">
        <f t="shared" si="1"/>
        <v>3141.1938947131939</v>
      </c>
      <c r="AK23" s="4">
        <f t="shared" si="6"/>
        <v>42959</v>
      </c>
      <c r="AL23" s="4"/>
      <c r="AM23" s="18">
        <v>700.80427445026965</v>
      </c>
      <c r="AN23" s="4">
        <f t="shared" si="2"/>
        <v>77625.013512698875</v>
      </c>
      <c r="AO23" s="164">
        <f t="shared" si="3"/>
        <v>124426.01168186234</v>
      </c>
      <c r="AP23" s="70">
        <f t="shared" si="4"/>
        <v>3.5620298203773181E-2</v>
      </c>
      <c r="AQ23" s="159">
        <v>3732</v>
      </c>
      <c r="AR23" s="150"/>
    </row>
    <row r="24" spans="1:44" ht="11.25">
      <c r="A24" s="50" t="s">
        <v>68</v>
      </c>
      <c r="B24" s="128"/>
      <c r="C24" s="4"/>
      <c r="D24" s="18"/>
      <c r="E24" s="18">
        <f t="shared" si="9"/>
        <v>1327.6076392817508</v>
      </c>
      <c r="F24" s="18"/>
      <c r="G24" s="18"/>
      <c r="H24" s="18"/>
      <c r="I24" s="18">
        <f>1925.94331667918*1.0108</f>
        <v>1946.7435044993151</v>
      </c>
      <c r="J24" s="18">
        <f>2912.2749396*1.0108</f>
        <v>2943.7275089476798</v>
      </c>
      <c r="K24" s="18">
        <f t="shared" si="8"/>
        <v>1697.9688645628128</v>
      </c>
      <c r="L24" s="18"/>
      <c r="M24" s="18"/>
      <c r="N24" s="18">
        <v>-9915.7961115141734</v>
      </c>
      <c r="O24" s="18"/>
      <c r="P24" s="65">
        <f t="shared" si="5"/>
        <v>-1999.7485942226149</v>
      </c>
      <c r="Q24" s="132"/>
      <c r="R24" s="136">
        <f>1560*1.0276*1.0091*1.0182*1.0155*1.0184*1.0123*1.0203*1.0165</f>
        <v>1788.3759369163849</v>
      </c>
      <c r="S24" s="137">
        <f>210*1.006*1.0089*1.0057*1.0276*1.0091*1.0182*1.0155*1.0184*1.0123*1.0203*1.0165</f>
        <v>245.73559387004971</v>
      </c>
      <c r="T24" s="140">
        <f>512*1.0276*1.0091*1.0182*1.0155*1.0184*1.0123*1.0203*1.0165</f>
        <v>586.95415365460849</v>
      </c>
      <c r="U24" s="22"/>
      <c r="V24" s="50" t="s">
        <v>68</v>
      </c>
      <c r="W24" s="160">
        <v>2.3561715896888949E-2</v>
      </c>
      <c r="X24" s="161">
        <v>5.1307133835202058E-2</v>
      </c>
      <c r="Y24" s="160">
        <v>2.5114155251141551E-2</v>
      </c>
      <c r="Z24" s="160">
        <v>5.9317749011948549E-2</v>
      </c>
      <c r="AA24" s="162">
        <v>3.0821044037352655E-2</v>
      </c>
      <c r="AB24" s="71">
        <f>SUM(W24*'Översikt fördelning'!$C$27)</f>
        <v>32064.143398541983</v>
      </c>
      <c r="AC24" s="5">
        <f>SUM(X24*'Översikt fördelning'!$C$28)</f>
        <v>12142.906103232992</v>
      </c>
      <c r="AD24" s="5">
        <f>SUM(Y24*'Översikt fördelning'!$C$29)</f>
        <v>4755.032000908911</v>
      </c>
      <c r="AE24" s="5">
        <f>SUM(Z24*'Översikt fördelning'!$C$30)</f>
        <v>18250.421402743614</v>
      </c>
      <c r="AF24" s="5">
        <f>SUM(AA24*'Översikt fördelning'!$C$31)</f>
        <v>8388.6112542163355</v>
      </c>
      <c r="AG24" s="72">
        <f t="shared" si="0"/>
        <v>75601.114159643839</v>
      </c>
      <c r="AI24" s="3" t="s">
        <v>68</v>
      </c>
      <c r="AJ24" s="4">
        <f t="shared" si="1"/>
        <v>-1999.7485942226149</v>
      </c>
      <c r="AK24" s="4">
        <f t="shared" si="6"/>
        <v>42959</v>
      </c>
      <c r="AL24" s="4">
        <v>400</v>
      </c>
      <c r="AM24" s="18">
        <v>1622.6073645841971</v>
      </c>
      <c r="AN24" s="4">
        <f t="shared" si="2"/>
        <v>75601.114159643839</v>
      </c>
      <c r="AO24" s="164">
        <f t="shared" si="3"/>
        <v>118582.97293000543</v>
      </c>
      <c r="AP24" s="70">
        <f t="shared" si="4"/>
        <v>3.3947570934418095E-2</v>
      </c>
      <c r="AQ24" s="159">
        <v>3557</v>
      </c>
      <c r="AR24" s="150"/>
    </row>
    <row r="25" spans="1:44" ht="11.25">
      <c r="A25" s="50" t="s">
        <v>69</v>
      </c>
      <c r="B25" s="128"/>
      <c r="C25" s="4"/>
      <c r="D25" s="18">
        <f>4218.94248216991*1.0108</f>
        <v>4264.5070609773447</v>
      </c>
      <c r="E25" s="18">
        <f t="shared" si="9"/>
        <v>1327.6076392817508</v>
      </c>
      <c r="F25" s="18">
        <f>5295.46853580607*1.0108</f>
        <v>5352.6595959927745</v>
      </c>
      <c r="G25" s="18"/>
      <c r="H25" s="18"/>
      <c r="I25" s="18"/>
      <c r="J25" s="18"/>
      <c r="K25" s="18">
        <f t="shared" si="8"/>
        <v>1697.9688645628128</v>
      </c>
      <c r="L25" s="18"/>
      <c r="M25" s="18"/>
      <c r="N25" s="18">
        <v>-5290.273979710546</v>
      </c>
      <c r="O25" s="18"/>
      <c r="P25" s="65">
        <f t="shared" si="5"/>
        <v>7352.4691811041357</v>
      </c>
      <c r="Q25" s="132"/>
      <c r="R25" s="136">
        <f>-1560*1.0276*1.0091*1.0182*1.0155*1.0184*1.0123*1.0203*1.0165</f>
        <v>-1788.3759369163849</v>
      </c>
      <c r="S25" s="137">
        <f>-278*1.006*1.0089*1.0057*1.0276*1.0091*1.0182*1.0155*1.0184*1.0123*1.0203*1.0165</f>
        <v>-325.30711950416105</v>
      </c>
      <c r="T25" s="140">
        <f>-512*1.0276*1.0091*1.0182*1.0155*1.0184*1.0123*1.0203*1.0165</f>
        <v>-586.95415365460849</v>
      </c>
      <c r="U25" s="22"/>
      <c r="V25" s="50" t="s">
        <v>69</v>
      </c>
      <c r="W25" s="160">
        <v>1.263621469473601E-2</v>
      </c>
      <c r="X25" s="161">
        <v>0.12013769186981928</v>
      </c>
      <c r="Y25" s="160">
        <v>3.4246575342465752E-2</v>
      </c>
      <c r="Z25" s="160">
        <v>2.2183631934542952E-2</v>
      </c>
      <c r="AA25" s="162">
        <v>2.2265312717933018E-2</v>
      </c>
      <c r="AB25" s="71">
        <f>SUM(W25*'Översikt fördelning'!$C$27)</f>
        <v>17196.090546201551</v>
      </c>
      <c r="AC25" s="5">
        <f>SUM(X25*'Översikt fördelning'!$C$28)</f>
        <v>28433.096974780718</v>
      </c>
      <c r="AD25" s="5">
        <f>SUM(Y25*'Översikt fördelning'!$C$29)</f>
        <v>6484.1345466939692</v>
      </c>
      <c r="AE25" s="5">
        <f>SUM(Z25*'Översikt fördelning'!$C$30)</f>
        <v>6825.2864916909966</v>
      </c>
      <c r="AF25" s="5">
        <f>SUM(AA25*'Översikt fördelning'!$C$31)</f>
        <v>6059.984620181669</v>
      </c>
      <c r="AG25" s="72">
        <f t="shared" si="0"/>
        <v>64998.593179548901</v>
      </c>
      <c r="AI25" s="3" t="s">
        <v>69</v>
      </c>
      <c r="AJ25" s="4">
        <f t="shared" si="1"/>
        <v>7352.4691811041357</v>
      </c>
      <c r="AK25" s="4">
        <f t="shared" si="6"/>
        <v>42959</v>
      </c>
      <c r="AL25" s="4"/>
      <c r="AM25" s="18">
        <v>858.40695503672271</v>
      </c>
      <c r="AN25" s="4">
        <f t="shared" si="2"/>
        <v>64998.593179548901</v>
      </c>
      <c r="AO25" s="164">
        <f t="shared" si="3"/>
        <v>116168.46931568976</v>
      </c>
      <c r="AP25" s="73">
        <f t="shared" si="4"/>
        <v>3.3256354221823353E-2</v>
      </c>
      <c r="AQ25" s="159">
        <v>3485</v>
      </c>
      <c r="AR25" s="150"/>
    </row>
    <row r="26" spans="1:44" ht="11.25">
      <c r="A26" s="50" t="s">
        <v>70</v>
      </c>
      <c r="B26" s="128"/>
      <c r="C26" s="18"/>
      <c r="D26" s="18">
        <f>4490.18750139786*1.0108</f>
        <v>4538.6815264129564</v>
      </c>
      <c r="E26" s="18">
        <f t="shared" si="9"/>
        <v>1327.6076392817508</v>
      </c>
      <c r="F26" s="18">
        <f>5238.37668274515*1.0108</f>
        <v>5294.9511509187969</v>
      </c>
      <c r="G26" s="18"/>
      <c r="H26" s="18"/>
      <c r="I26" s="18">
        <f>962.971658339592*1.0108</f>
        <v>973.37175224965949</v>
      </c>
      <c r="J26" s="18"/>
      <c r="K26" s="18">
        <f t="shared" si="8"/>
        <v>1697.9688645628128</v>
      </c>
      <c r="L26" s="18"/>
      <c r="M26" s="18"/>
      <c r="N26" s="18">
        <v>-8229.7717182912165</v>
      </c>
      <c r="O26" s="18"/>
      <c r="P26" s="65">
        <f t="shared" si="5"/>
        <v>5602.8092151347591</v>
      </c>
      <c r="Q26" s="132"/>
      <c r="R26" s="136"/>
      <c r="S26" s="137">
        <f>-143*1.006*1.0089*1.0057*1.0276*1.0091*1.0182*1.0155*1.0184*1.0123*1.0203*1.0165</f>
        <v>-167.33423773055767</v>
      </c>
      <c r="T26" s="140">
        <f>-607*1.0276*1.0091*1.0182*1.0155*1.0184*1.0123*1.0203*1.0165</f>
        <v>-695.86166263349082</v>
      </c>
      <c r="U26" s="22"/>
      <c r="V26" s="50" t="s">
        <v>70</v>
      </c>
      <c r="W26" s="160">
        <v>2.6320862833169305E-2</v>
      </c>
      <c r="X26" s="161">
        <v>0.13159388841632066</v>
      </c>
      <c r="Y26" s="160">
        <v>6.1643835616438353E-2</v>
      </c>
      <c r="Z26" s="160">
        <v>5.0876861190014389E-2</v>
      </c>
      <c r="AA26" s="162">
        <v>3.6672279770713204E-2</v>
      </c>
      <c r="AB26" s="71">
        <f>SUM(W26*'Översikt fördelning'!$C$27)</f>
        <v>35818.949857023326</v>
      </c>
      <c r="AC26" s="5">
        <f>SUM(X26*'Översikt fördelning'!$C$28)</f>
        <v>31144.445447513051</v>
      </c>
      <c r="AD26" s="5">
        <f>SUM(Y26*'Översikt fördelning'!$C$29)</f>
        <v>11671.442184049145</v>
      </c>
      <c r="AE26" s="5">
        <f>SUM(Z26*'Översikt fördelning'!$C$30)</f>
        <v>15653.395009639007</v>
      </c>
      <c r="AF26" s="5">
        <f>SUM(AA26*'Översikt fördelning'!$C$31)</f>
        <v>9981.1511391227486</v>
      </c>
      <c r="AG26" s="72">
        <f t="shared" si="0"/>
        <v>104269.38363734727</v>
      </c>
      <c r="AI26" s="74" t="s">
        <v>70</v>
      </c>
      <c r="AJ26" s="18">
        <f t="shared" si="1"/>
        <v>5602.8092151347591</v>
      </c>
      <c r="AK26" s="4">
        <f>42500*1.0108</f>
        <v>42959</v>
      </c>
      <c r="AL26" s="18"/>
      <c r="AM26" s="18">
        <v>-311.3716998945456</v>
      </c>
      <c r="AN26" s="18">
        <f t="shared" si="2"/>
        <v>104269.38363734727</v>
      </c>
      <c r="AO26" s="164">
        <f t="shared" si="3"/>
        <v>152519.82115258748</v>
      </c>
      <c r="AP26" s="73">
        <f t="shared" si="4"/>
        <v>4.3662908084943962E-2</v>
      </c>
      <c r="AQ26" s="159">
        <v>4575</v>
      </c>
      <c r="AR26" s="150"/>
    </row>
    <row r="27" spans="1:44" ht="11.25">
      <c r="A27" s="50" t="s">
        <v>71</v>
      </c>
      <c r="B27" s="128"/>
      <c r="C27" s="18"/>
      <c r="D27" s="18">
        <f>6516.24771544324*1.018</f>
        <v>6633.5401743212187</v>
      </c>
      <c r="E27" s="18">
        <f t="shared" si="9"/>
        <v>1327.6076392817508</v>
      </c>
      <c r="F27" s="18">
        <f>4685.29575547264*1.0108</f>
        <v>4735.8969496317441</v>
      </c>
      <c r="G27" s="18"/>
      <c r="H27" s="18"/>
      <c r="I27" s="18">
        <f>962.971658339592*1.0108</f>
        <v>973.37175224965949</v>
      </c>
      <c r="J27" s="18">
        <f>3473.36494755*1.0108</f>
        <v>3510.87728898354</v>
      </c>
      <c r="K27" s="18">
        <f t="shared" si="8"/>
        <v>1697.9688645628128</v>
      </c>
      <c r="L27" s="18">
        <f>3856.601*1.0108</f>
        <v>3898.2522907999996</v>
      </c>
      <c r="M27" s="18">
        <f>3000*1.0108</f>
        <v>3032.3999999999996</v>
      </c>
      <c r="N27" s="18">
        <v>-5249.1764929775063</v>
      </c>
      <c r="O27" s="18"/>
      <c r="P27" s="65">
        <f>SUM(B27:O27)</f>
        <v>20560.738466853214</v>
      </c>
      <c r="Q27" s="132"/>
      <c r="R27" s="136"/>
      <c r="S27" s="137">
        <f>233*1.006*1.0089*1.0057*1.0276*1.0091*1.0182*1.0155*1.0184*1.0123*1.0203*1.0165</f>
        <v>272.64949224629339</v>
      </c>
      <c r="T27" s="140">
        <f>607*1.0276*1.0091*1.0182*1.0155*1.0184*1.0123*1.0203*1.0165</f>
        <v>695.86166263349082</v>
      </c>
      <c r="U27" s="22"/>
      <c r="V27" s="50" t="s">
        <v>71</v>
      </c>
      <c r="W27" s="160">
        <v>2.4049224923272727E-2</v>
      </c>
      <c r="X27" s="161">
        <v>0.23518215148899443</v>
      </c>
      <c r="Y27" s="160">
        <v>5.0228310502283102E-2</v>
      </c>
      <c r="Z27" s="160">
        <v>4.8902158283552655E-2</v>
      </c>
      <c r="AA27" s="162">
        <v>2.3506999370651972E-2</v>
      </c>
      <c r="AB27" s="71">
        <f>SUM(W27*'Översikt fördelning'!$C$27)</f>
        <v>32727.573829435049</v>
      </c>
      <c r="AC27" s="5">
        <f>SUM(X27*'Översikt fördelning'!$C$28)</f>
        <v>55660.774033099522</v>
      </c>
      <c r="AD27" s="5">
        <f>SUM(Y27*'Översikt fördelning'!$C$29)</f>
        <v>9510.0640018178219</v>
      </c>
      <c r="AE27" s="5">
        <f>SUM(Z27*'Översikt fördelning'!$C$30)</f>
        <v>15045.833853181606</v>
      </c>
      <c r="AF27" s="5">
        <f>SUM(AA27*'Översikt fördelning'!$C$31)</f>
        <v>6397.9363980833205</v>
      </c>
      <c r="AG27" s="72">
        <f t="shared" si="0"/>
        <v>119342.18211561732</v>
      </c>
      <c r="AI27" s="74" t="s">
        <v>71</v>
      </c>
      <c r="AJ27" s="18">
        <f t="shared" si="1"/>
        <v>20560.738466853214</v>
      </c>
      <c r="AK27" s="4">
        <f>42500*1.0108</f>
        <v>42959</v>
      </c>
      <c r="AL27" s="18"/>
      <c r="AM27" s="18">
        <v>51.434718584311973</v>
      </c>
      <c r="AN27" s="18">
        <f t="shared" si="2"/>
        <v>119342.18211561732</v>
      </c>
      <c r="AO27" s="164">
        <f t="shared" si="3"/>
        <v>182913.35530105486</v>
      </c>
      <c r="AP27" s="73">
        <f t="shared" si="4"/>
        <v>5.236387611567276E-2</v>
      </c>
      <c r="AQ27" s="159">
        <v>5487</v>
      </c>
      <c r="AR27" s="150"/>
    </row>
    <row r="28" spans="1:44" ht="11.25">
      <c r="A28" s="75" t="s">
        <v>31</v>
      </c>
      <c r="B28" s="117">
        <f t="shared" ref="B28:O28" si="10">SUM(B7:B27)</f>
        <v>61173.34309770765</v>
      </c>
      <c r="C28" s="81">
        <f t="shared" ref="C28" si="11">SUM(C7:C27)</f>
        <v>18000</v>
      </c>
      <c r="D28" s="117">
        <f t="shared" si="10"/>
        <v>15436.72876171152</v>
      </c>
      <c r="E28" s="76">
        <f t="shared" si="10"/>
        <v>13584.822355441176</v>
      </c>
      <c r="F28" s="76">
        <f t="shared" si="10"/>
        <v>15383.507696543315</v>
      </c>
      <c r="G28" s="76">
        <f t="shared" si="10"/>
        <v>20300.9142756</v>
      </c>
      <c r="H28" s="76">
        <f t="shared" si="10"/>
        <v>0</v>
      </c>
      <c r="I28" s="76">
        <f t="shared" si="10"/>
        <v>17381.638433029628</v>
      </c>
      <c r="J28" s="76">
        <f t="shared" si="10"/>
        <v>8807.0707986714588</v>
      </c>
      <c r="K28" s="76">
        <f t="shared" si="10"/>
        <v>38204.299452663276</v>
      </c>
      <c r="L28" s="76">
        <f t="shared" si="10"/>
        <v>21239.001872199999</v>
      </c>
      <c r="M28" s="76">
        <f t="shared" si="10"/>
        <v>15161.999999999998</v>
      </c>
      <c r="N28" s="117">
        <f t="shared" si="10"/>
        <v>-99400.43628686665</v>
      </c>
      <c r="O28" s="117">
        <f t="shared" si="10"/>
        <v>1500</v>
      </c>
      <c r="P28" s="77">
        <f>SUM(B28:O28)</f>
        <v>146772.89045670134</v>
      </c>
      <c r="Q28" s="132"/>
      <c r="R28" s="80">
        <f t="shared" ref="R28:T28" si="12">SUM(R7:R27)</f>
        <v>0</v>
      </c>
      <c r="S28" s="81">
        <f t="shared" si="12"/>
        <v>0</v>
      </c>
      <c r="T28" s="82">
        <f t="shared" si="12"/>
        <v>-1.1368683772161603E-12</v>
      </c>
      <c r="U28" s="22"/>
      <c r="V28" s="95" t="s">
        <v>31</v>
      </c>
      <c r="W28" s="78">
        <f t="shared" ref="W28:AA28" si="13">SUM(W7:W27)</f>
        <v>0.99999999999999989</v>
      </c>
      <c r="X28" s="78">
        <f t="shared" si="13"/>
        <v>1</v>
      </c>
      <c r="Y28" s="78">
        <f t="shared" si="13"/>
        <v>1</v>
      </c>
      <c r="Z28" s="78">
        <f t="shared" si="13"/>
        <v>1</v>
      </c>
      <c r="AA28" s="79">
        <f t="shared" si="13"/>
        <v>0.99999999999999989</v>
      </c>
      <c r="AB28" s="80">
        <f t="shared" ref="AB28:AG28" si="14">SUM(AB7:AB27)</f>
        <v>1360857.737987397</v>
      </c>
      <c r="AC28" s="81">
        <f t="shared" si="14"/>
        <v>236670.91095432988</v>
      </c>
      <c r="AD28" s="81">
        <f t="shared" si="14"/>
        <v>189336.72876346391</v>
      </c>
      <c r="AE28" s="81">
        <f t="shared" si="14"/>
        <v>307672.18424062897</v>
      </c>
      <c r="AF28" s="81">
        <f t="shared" si="14"/>
        <v>272171.54759747942</v>
      </c>
      <c r="AG28" s="82">
        <f t="shared" si="14"/>
        <v>2366709.1095432984</v>
      </c>
      <c r="AI28" s="83" t="s">
        <v>72</v>
      </c>
      <c r="AJ28" s="81">
        <f t="shared" ref="AJ28:AO28" si="15">SUM(AJ7:AJ27)</f>
        <v>146772.89045670134</v>
      </c>
      <c r="AK28" s="81">
        <f t="shared" si="15"/>
        <v>902139</v>
      </c>
      <c r="AL28" s="81">
        <f t="shared" si="15"/>
        <v>77500</v>
      </c>
      <c r="AM28" s="76">
        <f t="shared" si="15"/>
        <v>7.7726269864797359E-11</v>
      </c>
      <c r="AN28" s="81">
        <f t="shared" si="15"/>
        <v>2366709.1095432984</v>
      </c>
      <c r="AO28" s="80">
        <f t="shared" si="15"/>
        <v>3493120.9999999986</v>
      </c>
      <c r="AP28" s="84">
        <f>AO28/$AO$28</f>
        <v>1</v>
      </c>
      <c r="AQ28" s="85">
        <f>SUM(AQ7:AQ27)</f>
        <v>104783</v>
      </c>
      <c r="AR28" s="150"/>
    </row>
    <row r="29" spans="1:44" ht="12">
      <c r="A29" s="99" t="s">
        <v>6</v>
      </c>
      <c r="B29" s="99"/>
      <c r="C29" s="1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3"/>
      <c r="R29" s="133"/>
      <c r="S29" s="133"/>
      <c r="T29" s="133"/>
      <c r="U29" s="22"/>
      <c r="V29" s="99" t="s">
        <v>6</v>
      </c>
      <c r="W29" s="86"/>
      <c r="X29" s="86"/>
      <c r="Y29" s="86"/>
      <c r="Z29" s="86"/>
      <c r="AA29" s="86"/>
      <c r="AI29" s="99" t="s">
        <v>6</v>
      </c>
      <c r="AJ29" s="16"/>
      <c r="AK29" s="16"/>
      <c r="AL29" s="16"/>
      <c r="AM29" s="7"/>
      <c r="AN29" s="16"/>
      <c r="AO29" s="17"/>
      <c r="AP29" s="16"/>
      <c r="AQ29" s="17"/>
      <c r="AR29" s="150"/>
    </row>
    <row r="30" spans="1:44">
      <c r="U30" s="22"/>
      <c r="V30" s="22"/>
      <c r="W30" s="8"/>
      <c r="X30" s="8"/>
      <c r="Z30" s="8"/>
      <c r="AA30" s="8"/>
      <c r="AO30" s="116"/>
    </row>
    <row r="31" spans="1:44" ht="15">
      <c r="C31" s="12"/>
      <c r="E31" s="124"/>
      <c r="U31" s="22"/>
      <c r="V31" s="22"/>
      <c r="Z31" s="123"/>
      <c r="AA31" s="10"/>
      <c r="AI31" s="12"/>
      <c r="AJ31" s="12"/>
      <c r="AK31" s="12"/>
      <c r="AL31" s="12"/>
      <c r="AN31" s="19"/>
      <c r="AO31" s="19"/>
      <c r="AP31" s="19"/>
      <c r="AQ31" s="19"/>
    </row>
    <row r="32" spans="1:44" ht="18">
      <c r="C32" s="12"/>
      <c r="E32" s="125"/>
      <c r="U32" s="22"/>
      <c r="V32" s="22"/>
      <c r="Z32" s="123"/>
      <c r="AA32" s="11"/>
      <c r="AI32" s="12"/>
      <c r="AJ32" s="12"/>
      <c r="AK32" s="12"/>
      <c r="AL32" s="12"/>
      <c r="AN32" s="20"/>
      <c r="AO32" s="19"/>
      <c r="AP32" s="12"/>
      <c r="AQ32" s="19"/>
    </row>
    <row r="33" spans="1:43" ht="18">
      <c r="C33" s="12"/>
      <c r="E33" s="125"/>
      <c r="U33" s="22"/>
      <c r="V33" s="22"/>
      <c r="Z33" s="123"/>
      <c r="AA33" s="11"/>
      <c r="AI33" s="12"/>
      <c r="AJ33" s="12"/>
      <c r="AK33" s="12"/>
      <c r="AL33" s="12"/>
      <c r="AQ33" s="9"/>
    </row>
    <row r="34" spans="1:43" ht="18">
      <c r="C34" s="20"/>
      <c r="E34" s="125"/>
      <c r="U34" s="22"/>
      <c r="V34" s="22"/>
      <c r="Z34" s="123"/>
      <c r="AA34" s="11"/>
      <c r="AC34" s="8"/>
      <c r="AD34" s="8"/>
      <c r="AE34" s="8"/>
      <c r="AF34" s="8"/>
      <c r="AG34" s="8"/>
      <c r="AH34" s="8"/>
      <c r="AI34" s="20"/>
      <c r="AJ34" s="20"/>
      <c r="AK34" s="20"/>
      <c r="AL34" s="20"/>
      <c r="AN34" s="20"/>
      <c r="AO34" s="21"/>
      <c r="AP34" s="20"/>
      <c r="AQ34" s="21"/>
    </row>
    <row r="35" spans="1:43" ht="18">
      <c r="E35" s="125"/>
      <c r="U35" s="22"/>
      <c r="V35" s="22"/>
      <c r="Z35" s="123"/>
      <c r="AA35" s="11"/>
    </row>
    <row r="36" spans="1:43" ht="18">
      <c r="E36" s="125"/>
      <c r="U36" s="22"/>
      <c r="V36" s="22"/>
      <c r="W36" s="12"/>
      <c r="Z36" s="123"/>
      <c r="AA36" s="11"/>
    </row>
    <row r="37" spans="1:43">
      <c r="E37" s="119"/>
      <c r="F37" s="120"/>
      <c r="J37" s="18"/>
      <c r="U37" s="22"/>
      <c r="V37" s="22"/>
      <c r="W37" s="12"/>
      <c r="Z37" s="123"/>
      <c r="AA37" s="11"/>
    </row>
    <row r="38" spans="1:43">
      <c r="E38" s="119"/>
      <c r="F38" s="120"/>
      <c r="U38" s="22"/>
      <c r="V38" s="22"/>
      <c r="Z38" s="123"/>
      <c r="AA38" s="11"/>
    </row>
    <row r="39" spans="1:43">
      <c r="U39" s="22"/>
      <c r="V39" s="22"/>
      <c r="Z39" s="123"/>
      <c r="AA39" s="11"/>
    </row>
    <row r="40" spans="1:43">
      <c r="U40" s="22"/>
      <c r="V40" s="22"/>
      <c r="W40" s="13"/>
      <c r="X40" s="14"/>
      <c r="Z40" s="123"/>
      <c r="AA40" s="11"/>
    </row>
    <row r="41" spans="1:43" s="8" customFormat="1">
      <c r="A41" s="22"/>
      <c r="B41" s="22"/>
      <c r="C41" s="9"/>
      <c r="D41" s="22"/>
      <c r="E41" s="22"/>
      <c r="F41" s="1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2"/>
      <c r="V41" s="22"/>
      <c r="W41" s="15"/>
      <c r="X41" s="15"/>
      <c r="Y41" s="9"/>
      <c r="Z41" s="123"/>
      <c r="AA41" s="11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24"/>
      <c r="AN41" s="9"/>
      <c r="AO41" s="9"/>
      <c r="AP41" s="9"/>
      <c r="AQ41" s="5"/>
    </row>
    <row r="42" spans="1:43">
      <c r="U42" s="22"/>
      <c r="V42" s="22"/>
      <c r="Z42" s="123"/>
    </row>
    <row r="43" spans="1:43">
      <c r="U43" s="22"/>
      <c r="Z43" s="123"/>
    </row>
    <row r="44" spans="1:43" ht="15" customHeight="1">
      <c r="U44" s="22"/>
      <c r="Z44" s="123"/>
    </row>
    <row r="45" spans="1:43" ht="1.5" hidden="1" customHeight="1">
      <c r="U45" s="22"/>
      <c r="Z45" s="123">
        <v>3.1772988660181654E-2</v>
      </c>
    </row>
    <row r="46" spans="1:43">
      <c r="U46" s="22"/>
      <c r="Z46" s="123"/>
    </row>
    <row r="47" spans="1:43">
      <c r="U47" s="22"/>
      <c r="Z47" s="123"/>
    </row>
    <row r="48" spans="1:43">
      <c r="U48" s="22"/>
      <c r="Z48" s="123"/>
    </row>
    <row r="49" spans="21:26" s="9" customFormat="1" ht="11.25">
      <c r="U49" s="22"/>
      <c r="Z49" s="123"/>
    </row>
    <row r="50" spans="21:26" s="9" customFormat="1" ht="11.25">
      <c r="U50" s="22"/>
      <c r="Z50" s="123"/>
    </row>
    <row r="51" spans="21:26" s="9" customFormat="1" ht="11.25">
      <c r="U51" s="22"/>
      <c r="Z51" s="123"/>
    </row>
    <row r="52" spans="21:26" s="9" customFormat="1" ht="11.25">
      <c r="U52" s="22"/>
    </row>
    <row r="53" spans="21:26" s="9" customFormat="1" ht="11.25">
      <c r="U53" s="22"/>
    </row>
    <row r="54" spans="21:26" s="9" customFormat="1" ht="11.25">
      <c r="U54" s="22"/>
    </row>
    <row r="55" spans="21:26" s="9" customFormat="1" ht="11.25">
      <c r="U55" s="22"/>
    </row>
    <row r="56" spans="21:26" s="9" customFormat="1" ht="11.25">
      <c r="U56" s="22"/>
    </row>
  </sheetData>
  <mergeCells count="6">
    <mergeCell ref="A3:A4"/>
    <mergeCell ref="V3:AA4"/>
    <mergeCell ref="AB3:AG4"/>
    <mergeCell ref="AI3:AN4"/>
    <mergeCell ref="R3:T4"/>
    <mergeCell ref="B3:P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&amp;LBilaga 3 till regleringsbrev för budgetåret 2022 avseende länsstyrelserna</oddHeader>
    <oddFooter>&amp;RSida &amp;P av &amp;N</oddFooter>
  </headerFooter>
  <colBreaks count="2" manualBreakCount="2">
    <brk id="20" max="29" man="1"/>
    <brk id="34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JMV6WU277ZYR-1834298216-34884</_dlc_DocId>
    <_dlc_DocIdUrl xmlns="eec14d05-b663-4c4f-ba9e-f91ce218b26b">
      <Url>https://dhs.sp.regeringskansliet.se/yta/fi-ofa/sfo/_layouts/15/DocIdRedir.aspx?ID=JMV6WU277ZYR-1834298216-34884</Url>
      <Description>JMV6WU277ZYR-1834298216-34884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9" ma:contentTypeDescription="Skapa nytt dokument med möjlighet att välja RK-mall" ma:contentTypeScope="" ma:versionID="50dd03f6490b9660ba96991b4376cf4e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B8D2156-5A19-4662-9644-6C41E2DC58EE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2E2FD62-98F7-4C31-90CD-6299149A7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madeleine.ehlin@regeringskansliet.se</cp:lastModifiedBy>
  <cp:revision/>
  <cp:lastPrinted>2021-12-22T10:03:29Z</cp:lastPrinted>
  <dcterms:created xsi:type="dcterms:W3CDTF">2020-10-23T14:25:55Z</dcterms:created>
  <dcterms:modified xsi:type="dcterms:W3CDTF">2021-12-22T10:03:33Z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ecb3c449-739c-4882-a9ed-ab49046e5030</vt:lpwstr>
  </property>
</Properties>
</file>