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hs.sp.regeringskansliet.se/yta/fi-ofa/sfo/Myndigheter och Hovet/Länsstyrelserna/Regleringsbrev/Länsstyrelserna 23/Fördelningsmodellen/Bilagor till Hermes 22 dec/"/>
    </mc:Choice>
  </mc:AlternateContent>
  <xr:revisionPtr revIDLastSave="0" documentId="13_ncr:1_{EFA0F883-4670-4286-9EBB-201B5CF47409}" xr6:coauthVersionLast="47" xr6:coauthVersionMax="47" xr10:uidLastSave="{00000000-0000-0000-0000-000000000000}"/>
  <bookViews>
    <workbookView xWindow="14040" yWindow="390" windowWidth="14220" windowHeight="15210" tabRatio="694" activeTab="1" xr2:uid="{44832A45-09D4-4A9E-8824-1CD092936FBF}"/>
  </bookViews>
  <sheets>
    <sheet name="Översikt fördelning" sheetId="4" r:id="rId1"/>
    <sheet name="Riktade medel och parametrar" sheetId="2" r:id="rId2"/>
  </sheets>
  <definedNames>
    <definedName name="_xlnm.Print_Area" localSheetId="1">'Riktade medel och parametrar'!$A$1:$AS$30</definedName>
    <definedName name="_xlnm.Print_Area" localSheetId="0">'Översikt fördelning'!$A$1:$F$36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O17" i="2" l="1"/>
  <c r="AN14" i="2"/>
  <c r="AM10" i="2"/>
  <c r="AP20" i="2"/>
  <c r="AP21" i="2" l="1"/>
  <c r="Q28" i="2"/>
  <c r="V27" i="2" l="1"/>
  <c r="V26" i="2"/>
  <c r="V25" i="2"/>
  <c r="V24" i="2"/>
  <c r="V23" i="2"/>
  <c r="V22" i="2"/>
  <c r="V21" i="2"/>
  <c r="V20" i="2"/>
  <c r="V19" i="2"/>
  <c r="V18" i="2"/>
  <c r="V17" i="2"/>
  <c r="V16" i="2"/>
  <c r="V15" i="2"/>
  <c r="V14" i="2"/>
  <c r="V13" i="2"/>
  <c r="V12" i="2"/>
  <c r="V11" i="2"/>
  <c r="V10" i="2"/>
  <c r="V9" i="2"/>
  <c r="V8" i="2"/>
  <c r="V7" i="2"/>
  <c r="U27" i="2"/>
  <c r="U26" i="2"/>
  <c r="U25" i="2"/>
  <c r="U24" i="2"/>
  <c r="U23" i="2"/>
  <c r="U22" i="2"/>
  <c r="U21" i="2"/>
  <c r="U20" i="2"/>
  <c r="U19" i="2"/>
  <c r="U18" i="2"/>
  <c r="U17" i="2"/>
  <c r="U16" i="2"/>
  <c r="U15" i="2"/>
  <c r="U14" i="2"/>
  <c r="U13" i="2"/>
  <c r="U12" i="2"/>
  <c r="U11" i="2"/>
  <c r="U10" i="2"/>
  <c r="U9" i="2"/>
  <c r="U8" i="2"/>
  <c r="U7" i="2"/>
  <c r="T25" i="2"/>
  <c r="T24" i="2"/>
  <c r="T23" i="2"/>
  <c r="T22" i="2"/>
  <c r="T21" i="2"/>
  <c r="T20" i="2"/>
  <c r="T19" i="2"/>
  <c r="T16" i="2"/>
  <c r="T15" i="2"/>
  <c r="T14" i="2"/>
  <c r="T13" i="2"/>
  <c r="T12" i="2"/>
  <c r="T11" i="2"/>
  <c r="T10" i="2"/>
  <c r="T9" i="2"/>
  <c r="T8" i="2"/>
  <c r="T7" i="2"/>
  <c r="B20" i="2"/>
  <c r="B18" i="2"/>
  <c r="B14" i="2"/>
  <c r="B10" i="2"/>
  <c r="B7" i="2"/>
  <c r="M27" i="2"/>
  <c r="M18" i="2"/>
  <c r="M16" i="2"/>
  <c r="M7" i="2"/>
  <c r="L27" i="2"/>
  <c r="L23" i="2"/>
  <c r="L18" i="2"/>
  <c r="L16" i="2"/>
  <c r="L7" i="2"/>
  <c r="K20" i="2"/>
  <c r="K21" i="2"/>
  <c r="K22" i="2"/>
  <c r="K23" i="2"/>
  <c r="K24" i="2"/>
  <c r="K25" i="2"/>
  <c r="K26" i="2"/>
  <c r="K27" i="2"/>
  <c r="K19" i="2"/>
  <c r="K17" i="2"/>
  <c r="K9" i="2"/>
  <c r="K10" i="2"/>
  <c r="K11" i="2"/>
  <c r="K12" i="2"/>
  <c r="K13" i="2"/>
  <c r="K14" i="2"/>
  <c r="K15" i="2"/>
  <c r="K8" i="2"/>
  <c r="K18" i="2"/>
  <c r="K16" i="2"/>
  <c r="K7" i="2"/>
  <c r="J18" i="2"/>
  <c r="J24" i="2"/>
  <c r="J27" i="2"/>
  <c r="I18" i="2"/>
  <c r="I23" i="2"/>
  <c r="I27" i="2"/>
  <c r="I26" i="2"/>
  <c r="I24" i="2"/>
  <c r="I13" i="2"/>
  <c r="I17" i="2"/>
  <c r="I16" i="2"/>
  <c r="I15" i="2"/>
  <c r="I14" i="2"/>
  <c r="I8" i="2"/>
  <c r="I9" i="2"/>
  <c r="I10" i="2"/>
  <c r="I7" i="2"/>
  <c r="H16" i="2"/>
  <c r="H15" i="2"/>
  <c r="G18" i="2"/>
  <c r="G16" i="2"/>
  <c r="G7" i="2"/>
  <c r="F27" i="2"/>
  <c r="F26" i="2"/>
  <c r="F25" i="2"/>
  <c r="E23" i="2"/>
  <c r="E24" i="2"/>
  <c r="E25" i="2"/>
  <c r="E26" i="2"/>
  <c r="E27" i="2"/>
  <c r="E22" i="2"/>
  <c r="E21" i="2"/>
  <c r="E20" i="2"/>
  <c r="E19" i="2"/>
  <c r="E18" i="2"/>
  <c r="E8" i="2"/>
  <c r="D27" i="2"/>
  <c r="D26" i="2"/>
  <c r="D25" i="2"/>
  <c r="R27" i="2" l="1"/>
  <c r="W17" i="2"/>
  <c r="AO8" i="2"/>
  <c r="AO9" i="2"/>
  <c r="AO10" i="2"/>
  <c r="AO11" i="2"/>
  <c r="AO12" i="2"/>
  <c r="AO13" i="2"/>
  <c r="AO14" i="2"/>
  <c r="AO15" i="2"/>
  <c r="AO16" i="2"/>
  <c r="AO18" i="2"/>
  <c r="AO19" i="2"/>
  <c r="AO20" i="2"/>
  <c r="AO21" i="2"/>
  <c r="AO22" i="2"/>
  <c r="AO23" i="2"/>
  <c r="AO24" i="2"/>
  <c r="AO25" i="2"/>
  <c r="AO26" i="2"/>
  <c r="AO27" i="2"/>
  <c r="AO7" i="2"/>
  <c r="C3" i="4" l="1"/>
  <c r="P28" i="2" l="1"/>
  <c r="W7" i="2" l="1"/>
  <c r="AP28" i="2" l="1"/>
  <c r="O28" i="2"/>
  <c r="W25" i="2" l="1"/>
  <c r="AN25" i="2" s="1"/>
  <c r="W11" i="2"/>
  <c r="AN11" i="2" s="1"/>
  <c r="C18" i="2"/>
  <c r="C16" i="2"/>
  <c r="W14" i="2" l="1"/>
  <c r="W20" i="2"/>
  <c r="AN20" i="2" s="1"/>
  <c r="W27" i="2"/>
  <c r="AN27" i="2" s="1"/>
  <c r="W26" i="2"/>
  <c r="AN26" i="2" s="1"/>
  <c r="W24" i="2"/>
  <c r="AN24" i="2" s="1"/>
  <c r="W10" i="2"/>
  <c r="AN10" i="2" s="1"/>
  <c r="W13" i="2"/>
  <c r="AN13" i="2" s="1"/>
  <c r="W19" i="2"/>
  <c r="AN19" i="2" s="1"/>
  <c r="W8" i="2"/>
  <c r="AN8" i="2" s="1"/>
  <c r="W16" i="2"/>
  <c r="AN16" i="2" s="1"/>
  <c r="W22" i="2"/>
  <c r="AN22" i="2" s="1"/>
  <c r="W9" i="2"/>
  <c r="AN9" i="2" s="1"/>
  <c r="AN17" i="2"/>
  <c r="W23" i="2"/>
  <c r="AN23" i="2" s="1"/>
  <c r="W12" i="2"/>
  <c r="AN12" i="2" s="1"/>
  <c r="AN7" i="2"/>
  <c r="W15" i="2"/>
  <c r="AN15" i="2" s="1"/>
  <c r="W18" i="2"/>
  <c r="AN18" i="2" s="1"/>
  <c r="W21" i="2"/>
  <c r="AN21" i="2" s="1"/>
  <c r="V28" i="2"/>
  <c r="T28" i="2"/>
  <c r="U28" i="2"/>
  <c r="C28" i="2"/>
  <c r="AN28" i="2" l="1"/>
  <c r="W28" i="2"/>
  <c r="B28" i="2"/>
  <c r="N28" i="2"/>
  <c r="AO28" i="2" l="1"/>
  <c r="R12" i="2" l="1"/>
  <c r="R14" i="2"/>
  <c r="R13" i="2"/>
  <c r="R10" i="2"/>
  <c r="R22" i="2"/>
  <c r="R21" i="2" l="1"/>
  <c r="AM21" i="2" s="1"/>
  <c r="R9" i="2"/>
  <c r="R25" i="2"/>
  <c r="R7" i="2"/>
  <c r="R16" i="2"/>
  <c r="R8" i="2"/>
  <c r="AM8" i="2" s="1"/>
  <c r="R15" i="2"/>
  <c r="R23" i="2"/>
  <c r="R18" i="2"/>
  <c r="R26" i="2"/>
  <c r="R24" i="2"/>
  <c r="R19" i="2"/>
  <c r="R20" i="2"/>
  <c r="R17" i="2"/>
  <c r="R11" i="2"/>
  <c r="AM11" i="2" s="1"/>
  <c r="M28" i="2" l="1"/>
  <c r="B29" i="4" l="1"/>
  <c r="AD28" i="2"/>
  <c r="AC28" i="2"/>
  <c r="AB28" i="2"/>
  <c r="AA28" i="2"/>
  <c r="Z28" i="2"/>
  <c r="H28" i="2" l="1"/>
  <c r="F28" i="2"/>
  <c r="G28" i="2"/>
  <c r="J28" i="2"/>
  <c r="E28" i="2"/>
  <c r="D28" i="2"/>
  <c r="K28" i="2"/>
  <c r="L28" i="2"/>
  <c r="I28" i="2"/>
  <c r="R28" i="2" l="1"/>
  <c r="C5" i="4"/>
  <c r="C23" i="4" s="1"/>
  <c r="AM7" i="2"/>
  <c r="AM25" i="2"/>
  <c r="AM9" i="2"/>
  <c r="AM20" i="2"/>
  <c r="AM13" i="2"/>
  <c r="AM12" i="2"/>
  <c r="AM23" i="2"/>
  <c r="AM16" i="2"/>
  <c r="AM17" i="2"/>
  <c r="AM15" i="2"/>
  <c r="AM27" i="2"/>
  <c r="AM19" i="2"/>
  <c r="AM22" i="2"/>
  <c r="AM14" i="2"/>
  <c r="AM26" i="2"/>
  <c r="AM24" i="2"/>
  <c r="AM18" i="2"/>
  <c r="C33" i="4" l="1"/>
  <c r="AH10" i="2" s="1"/>
  <c r="AM28" i="2"/>
  <c r="C32" i="4" l="1"/>
  <c r="AG14" i="2" s="1"/>
  <c r="C34" i="4"/>
  <c r="AI13" i="2" s="1"/>
  <c r="C31" i="4"/>
  <c r="AF8" i="2" s="1"/>
  <c r="C30" i="4"/>
  <c r="AH25" i="2"/>
  <c r="AH26" i="2"/>
  <c r="AH18" i="2"/>
  <c r="AH27" i="2"/>
  <c r="AH19" i="2"/>
  <c r="AH20" i="2"/>
  <c r="AH9" i="2"/>
  <c r="AH24" i="2"/>
  <c r="AH17" i="2"/>
  <c r="AH23" i="2"/>
  <c r="AH16" i="2"/>
  <c r="AH21" i="2"/>
  <c r="AH11" i="2"/>
  <c r="AH13" i="2"/>
  <c r="AH12" i="2"/>
  <c r="AH7" i="2"/>
  <c r="AH15" i="2"/>
  <c r="AH8" i="2"/>
  <c r="AH22" i="2"/>
  <c r="AH14" i="2"/>
  <c r="AE11" i="2" l="1"/>
  <c r="AE12" i="2"/>
  <c r="AG21" i="2"/>
  <c r="AF26" i="2"/>
  <c r="AE21" i="2"/>
  <c r="AG8" i="2"/>
  <c r="AG10" i="2"/>
  <c r="AG27" i="2"/>
  <c r="AG24" i="2"/>
  <c r="AG9" i="2"/>
  <c r="AG23" i="2"/>
  <c r="AG20" i="2"/>
  <c r="AG12" i="2"/>
  <c r="AG13" i="2"/>
  <c r="AG11" i="2"/>
  <c r="AG17" i="2"/>
  <c r="AG15" i="2"/>
  <c r="AF25" i="2"/>
  <c r="AG22" i="2"/>
  <c r="AE17" i="2"/>
  <c r="AE8" i="2"/>
  <c r="AF13" i="2"/>
  <c r="AF24" i="2"/>
  <c r="AF10" i="2"/>
  <c r="AI19" i="2"/>
  <c r="AF19" i="2"/>
  <c r="AF20" i="2"/>
  <c r="AF16" i="2"/>
  <c r="AF7" i="2"/>
  <c r="AE15" i="2"/>
  <c r="AE10" i="2"/>
  <c r="AF17" i="2"/>
  <c r="AF15" i="2"/>
  <c r="AF27" i="2"/>
  <c r="AF22" i="2"/>
  <c r="AF9" i="2"/>
  <c r="AF11" i="2"/>
  <c r="AF14" i="2"/>
  <c r="AF21" i="2"/>
  <c r="AF18" i="2"/>
  <c r="AF12" i="2"/>
  <c r="AF23" i="2"/>
  <c r="AI14" i="2"/>
  <c r="AE7" i="2"/>
  <c r="AI15" i="2"/>
  <c r="AE13" i="2"/>
  <c r="AG18" i="2"/>
  <c r="AG7" i="2"/>
  <c r="AI9" i="2"/>
  <c r="AI7" i="2"/>
  <c r="AI21" i="2"/>
  <c r="AI27" i="2"/>
  <c r="AI8" i="2"/>
  <c r="AI22" i="2"/>
  <c r="AI24" i="2"/>
  <c r="AI16" i="2"/>
  <c r="AE27" i="2"/>
  <c r="AG19" i="2"/>
  <c r="AI18" i="2"/>
  <c r="AE24" i="2"/>
  <c r="AI12" i="2"/>
  <c r="AI25" i="2"/>
  <c r="AI20" i="2"/>
  <c r="AG16" i="2"/>
  <c r="AI17" i="2"/>
  <c r="AI26" i="2"/>
  <c r="AG25" i="2"/>
  <c r="AG26" i="2"/>
  <c r="AI11" i="2"/>
  <c r="AI23" i="2"/>
  <c r="AE14" i="2"/>
  <c r="AE16" i="2"/>
  <c r="AE25" i="2"/>
  <c r="AI10" i="2"/>
  <c r="AE26" i="2"/>
  <c r="AE19" i="2"/>
  <c r="AE22" i="2"/>
  <c r="AE20" i="2"/>
  <c r="AE18" i="2"/>
  <c r="AE9" i="2"/>
  <c r="C29" i="4"/>
  <c r="AE23" i="2"/>
  <c r="AH28" i="2"/>
  <c r="AJ12" i="2" l="1"/>
  <c r="AJ8" i="2"/>
  <c r="AQ8" i="2" s="1"/>
  <c r="AJ11" i="2"/>
  <c r="AQ11" i="2" s="1"/>
  <c r="AJ13" i="2"/>
  <c r="AQ13" i="2" s="1"/>
  <c r="AJ9" i="2"/>
  <c r="AQ9" i="2" s="1"/>
  <c r="AJ17" i="2"/>
  <c r="AQ17" i="2" s="1"/>
  <c r="AQ12" i="2"/>
  <c r="AJ15" i="2"/>
  <c r="AQ15" i="2" s="1"/>
  <c r="AJ14" i="2"/>
  <c r="AQ14" i="2" s="1"/>
  <c r="AJ20" i="2"/>
  <c r="AJ22" i="2"/>
  <c r="AQ22" i="2" s="1"/>
  <c r="AF28" i="2"/>
  <c r="AJ24" i="2"/>
  <c r="AQ24" i="2" s="1"/>
  <c r="AJ23" i="2"/>
  <c r="AQ23" i="2" s="1"/>
  <c r="AJ21" i="2"/>
  <c r="AQ21" i="2" s="1"/>
  <c r="AJ10" i="2"/>
  <c r="AQ10" i="2" s="1"/>
  <c r="AG28" i="2"/>
  <c r="AJ7" i="2"/>
  <c r="AQ7" i="2" s="1"/>
  <c r="AJ16" i="2"/>
  <c r="AQ16" i="2" s="1"/>
  <c r="AJ18" i="2"/>
  <c r="AQ18" i="2" s="1"/>
  <c r="AJ26" i="2"/>
  <c r="AQ26" i="2" s="1"/>
  <c r="AJ25" i="2"/>
  <c r="AQ25" i="2" s="1"/>
  <c r="AJ27" i="2"/>
  <c r="AQ27" i="2" s="1"/>
  <c r="AI28" i="2"/>
  <c r="AJ19" i="2"/>
  <c r="AQ19" i="2" s="1"/>
  <c r="AE28" i="2"/>
  <c r="AR26" i="2" l="1"/>
  <c r="AR14" i="2"/>
  <c r="AR15" i="2"/>
  <c r="AR12" i="2"/>
  <c r="AR25" i="2"/>
  <c r="AR13" i="2"/>
  <c r="AR10" i="2"/>
  <c r="AR27" i="2"/>
  <c r="AR23" i="2"/>
  <c r="AR24" i="2"/>
  <c r="AR16" i="2"/>
  <c r="AR22" i="2"/>
  <c r="AR11" i="2"/>
  <c r="AR19" i="2"/>
  <c r="AR21" i="2"/>
  <c r="AR17" i="2"/>
  <c r="AR9" i="2"/>
  <c r="AR18" i="2"/>
  <c r="AR7" i="2"/>
  <c r="AQ20" i="2"/>
  <c r="AR20" i="2" s="1"/>
  <c r="AR8" i="2"/>
  <c r="AJ28" i="2"/>
  <c r="AR28" i="2" l="1"/>
  <c r="AQ28" i="2"/>
  <c r="AS28" i="2" l="1"/>
  <c r="AS9" i="2"/>
  <c r="AS14" i="2"/>
  <c r="AS19" i="2"/>
  <c r="AS15" i="2"/>
  <c r="AS21" i="2"/>
  <c r="AS12" i="2"/>
  <c r="AS26" i="2"/>
  <c r="AS25" i="2"/>
  <c r="AS23" i="2"/>
  <c r="AS11" i="2"/>
  <c r="AS8" i="2"/>
  <c r="AS24" i="2"/>
  <c r="AS22" i="2"/>
  <c r="AS13" i="2"/>
  <c r="AS10" i="2"/>
  <c r="AS7" i="2"/>
  <c r="AS27" i="2"/>
  <c r="AS17" i="2"/>
  <c r="AS18" i="2"/>
  <c r="AS16" i="2"/>
  <c r="AS20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tc={B342BD65-7832-419E-B647-28D5A3CD7320}</author>
    <author>tc={61FC3867-CB8F-4482-B196-DB29AC526E2F}</author>
    <author>tc={69406FF6-6E6D-4287-9C5F-2ABAEC765FC0}</author>
    <author>tc={33DB3FF4-C86D-4845-AD1B-8AB89311CC36}</author>
    <author>tc={A7E2805D-136C-4E15-BD75-61FA81B677BB}</author>
    <author>tc={93361EE0-AF32-4976-B862-9855EE446018}</author>
    <author>tc={DE6DF0BA-386A-4F00-A768-6A6AC3CA9141}</author>
  </authors>
  <commentList>
    <comment ref="B7" authorId="0" shapeId="0" xr:uid="{B342BD65-7832-419E-B647-28D5A3CD7320}">
      <text>
        <t>[Trådad kommentar]
I din version av Excel kan du läsa den här trådade kommentaren, men eventuella ändringar i den tas bort om filen öppnas i en senare version av Excel. Läs mer: https://go.microsoft.com/fwlink/?linkid=870924
Kommentar:
    Central mynd. intern delg. 2014 (PLO)</t>
      </text>
    </comment>
    <comment ref="B10" authorId="1" shapeId="0" xr:uid="{61FC3867-CB8F-4482-B196-DB29AC526E2F}">
      <text>
        <t>[Trådad kommentar]
I din version av Excel kan du läsa den här trådade kommentaren, men eventuella ändringar i den tas bort om filen öppnas i en senare version av Excel. Läs mer: https://go.microsoft.com/fwlink/?linkid=870924
Kommentar:
    Hedersrelaterat våld, kompetensteamet HRV (PLO)</t>
      </text>
    </comment>
    <comment ref="B14" authorId="2" shapeId="0" xr:uid="{69406FF6-6E6D-4287-9C5F-2ABAEC765FC0}">
      <text>
        <t>[Trådad kommentar]
I din version av Excel kan du läsa den här trådade kommentaren, men eventuella ändringar i den tas bort om filen öppnas i en senare version av Excel. Läs mer: https://go.microsoft.com/fwlink/?linkid=870924
Kommentar:
    Totalförsvarsuppbyggnad Gotland (PLO)</t>
      </text>
    </comment>
    <comment ref="B18" authorId="3" shapeId="0" xr:uid="{33DB3FF4-C86D-4845-AD1B-8AB89311CC36}">
      <text>
        <t>[Trådad kommentar]
I din version av Excel kan du läsa den här trådade kommentaren, men eventuella ändringar i den tas bort om filen öppnas i en senare version av Excel. Läs mer: https://go.microsoft.com/fwlink/?linkid=870924
Kommentar:
    GIS (PLO) + Miljösamverkan Sverige (ej PLO) + Information Sverige (PLO)</t>
      </text>
    </comment>
    <comment ref="B20" authorId="4" shapeId="0" xr:uid="{A7E2805D-136C-4E15-BD75-61FA81B677BB}">
      <text>
        <t>[Trådad kommentar]
I din version av Excel kan du läsa den här trådade kommentaren, men eventuella ändringar i den tas bort om filen öppnas i en senare version av Excel. Läs mer: https://go.microsoft.com/fwlink/?linkid=870924
Kommentar:
    Kampsport 2010 (PLO) + Djufrågor BP18 (PLO) + SEVESO-verksamheten (PLO)</t>
      </text>
    </comment>
    <comment ref="B24" authorId="5" shapeId="0" xr:uid="{93361EE0-AF32-4976-B862-9855EE446018}">
      <text>
        <t>[Trådad kommentar]
I din version av Excel kan du läsa den här trådade kommentaren, men eventuella ändringar i den tas bort om filen öppnas i en senare version av Excel. Läs mer: https://go.microsoft.com/fwlink/?linkid=870924
Kommentar:
    Samordning flyktingmott./etabl. (Ej PLO)</t>
      </text>
    </comment>
    <comment ref="B27" authorId="6" shapeId="0" xr:uid="{DE6DF0BA-386A-4F00-A768-6A6AC3CA9141}">
      <text>
        <t>[Trådad kommentar]
I din version av Excel kan du läsa den här trådade kommentaren, men eventuella ändringar i den tas bort om filen öppnas i en senare version av Excel. Läs mer: https://go.microsoft.com/fwlink/?linkid=870924
Kommentar:
    Adm. samhällsbyggnadsprojekt BP23 (2023-2030) (PLO)</t>
      </text>
    </comment>
  </commentList>
</comments>
</file>

<file path=xl/sharedStrings.xml><?xml version="1.0" encoding="utf-8"?>
<sst xmlns="http://schemas.openxmlformats.org/spreadsheetml/2006/main" count="185" uniqueCount="103">
  <si>
    <t xml:space="preserve">Avgår särskilda medel </t>
  </si>
  <si>
    <t>Riktade medel</t>
  </si>
  <si>
    <t>Grundbelopp</t>
  </si>
  <si>
    <t>Utvecklingsmedel, Västmanland</t>
  </si>
  <si>
    <t>Dispositionsrätt, Örebro</t>
  </si>
  <si>
    <t>Fördelning genom fem parametrar</t>
  </si>
  <si>
    <t>(Tusental kronor)</t>
  </si>
  <si>
    <t>PARAMETER</t>
  </si>
  <si>
    <t>VIKT</t>
  </si>
  <si>
    <t>FÖRDELNING</t>
  </si>
  <si>
    <t>Totalt</t>
  </si>
  <si>
    <t xml:space="preserve">Folkmängd </t>
  </si>
  <si>
    <t>Areal</t>
  </si>
  <si>
    <t>Antal kommuner, dubbel vikt landsbygdskommuner</t>
  </si>
  <si>
    <t>Miljöavgifter</t>
  </si>
  <si>
    <t>Jordbruksföretag</t>
  </si>
  <si>
    <t>Fördelning Anslag 5:1 Länsstyrelserna m.m. per länsstyrelse - Samlad fördelning</t>
  </si>
  <si>
    <t>RIKTADE MEDEL</t>
  </si>
  <si>
    <t>DE FEM PARAMETRARNA</t>
  </si>
  <si>
    <t>RESULTAT PER PARAMETER</t>
  </si>
  <si>
    <t>DEN SAMLADE FÖRDELNINGEN</t>
  </si>
  <si>
    <t>Ren-näring</t>
  </si>
  <si>
    <t>Rovdjurs-förvaltning 2007</t>
  </si>
  <si>
    <t xml:space="preserve">EU:s territoriella program </t>
  </si>
  <si>
    <t>Penning-tvätt 2009, 2012, 2020</t>
  </si>
  <si>
    <t>Överf. jordbruks-stöd</t>
  </si>
  <si>
    <t>Havsplan-ering 2012</t>
  </si>
  <si>
    <t>Uppgift från FiskV</t>
  </si>
  <si>
    <t>Civilt försvar BP18</t>
  </si>
  <si>
    <t>GRÖT BP18, avfallstransporter</t>
  </si>
  <si>
    <t>Summa</t>
  </si>
  <si>
    <t>Folk-mängd</t>
  </si>
  <si>
    <t xml:space="preserve">Areal </t>
  </si>
  <si>
    <t>Kommun-antal</t>
  </si>
  <si>
    <t>Miljö-avgift</t>
  </si>
  <si>
    <t>Jordbruks-företag</t>
  </si>
  <si>
    <t>Kommunantal</t>
  </si>
  <si>
    <t>Miljö-avgifter</t>
  </si>
  <si>
    <t>SUMMA 5 parametrar</t>
  </si>
  <si>
    <t>Extra orter</t>
  </si>
  <si>
    <t>Enskilda belopp</t>
  </si>
  <si>
    <t>Konc. av MPD</t>
  </si>
  <si>
    <t>Konc. av stiftelser</t>
  </si>
  <si>
    <t xml:space="preserve">Konc. av div. </t>
  </si>
  <si>
    <t>Fem parametrar</t>
  </si>
  <si>
    <t>Summa/ länsstyrelse</t>
  </si>
  <si>
    <t>PLO/Ej PLO</t>
  </si>
  <si>
    <t>PLO</t>
  </si>
  <si>
    <t>Stockholm</t>
  </si>
  <si>
    <t>Uppsala</t>
  </si>
  <si>
    <t>Södermanland</t>
  </si>
  <si>
    <t>Östergötland</t>
  </si>
  <si>
    <t>Jönköping</t>
  </si>
  <si>
    <t>Kronoberg</t>
  </si>
  <si>
    <t>Kalmar</t>
  </si>
  <si>
    <t>Gotland</t>
  </si>
  <si>
    <t>Blekinge</t>
  </si>
  <si>
    <t>Skåne</t>
  </si>
  <si>
    <t>Halland</t>
  </si>
  <si>
    <t>Västra Götaland</t>
  </si>
  <si>
    <t>Värmland</t>
  </si>
  <si>
    <t>Örebro</t>
  </si>
  <si>
    <t>Västmanland</t>
  </si>
  <si>
    <t>Dalarna</t>
  </si>
  <si>
    <t>Gävleborg</t>
  </si>
  <si>
    <t>Västernorrland</t>
  </si>
  <si>
    <t>Jämtland</t>
  </si>
  <si>
    <t>Västerbotten</t>
  </si>
  <si>
    <t>Norrbotten</t>
  </si>
  <si>
    <t>Summa totalt</t>
  </si>
  <si>
    <t>Anmärkning</t>
  </si>
  <si>
    <t>Tillsyn maa säk.skydds-lagen</t>
  </si>
  <si>
    <t>Överföring  regionalt utvecklingsansvar</t>
  </si>
  <si>
    <t>Riktade medel till en länsstyrelse</t>
  </si>
  <si>
    <t>KONCENTRATION</t>
  </si>
  <si>
    <t>Motv. penningtvätt och fin. av terrorism</t>
  </si>
  <si>
    <t>Ap 26 Utvecklingsinsatser m.m., Örebro</t>
  </si>
  <si>
    <t>Koncentration</t>
  </si>
  <si>
    <t>Fördelning anslag 5:1 Länsstyrelserna m.m. för 2023 - Översikt</t>
  </si>
  <si>
    <t>Anslag 5:1 Länsstyrelserna m.m., 2023</t>
  </si>
  <si>
    <t>Vissa PLO</t>
  </si>
  <si>
    <t>43,38 mnkr/länsstyrelse</t>
  </si>
  <si>
    <t xml:space="preserve">Effektiv tillsyn och prövning, Västernorrland </t>
  </si>
  <si>
    <t>Ny struktur civilt försvar BP23</t>
  </si>
  <si>
    <t>Regeringsuppdrag digitalisering strandskydd FO, Västmanland</t>
  </si>
  <si>
    <t>Regeringsuppdrag digitalisering strandskydd, Uppsala</t>
  </si>
  <si>
    <t>Avloppsrening, Örebro</t>
  </si>
  <si>
    <t>Cybersäkerhetsarbete, Västra Götaland</t>
  </si>
  <si>
    <t>Havsmiljöpropositionen, Örebro</t>
  </si>
  <si>
    <t>Systematisk användning och analys av data och statistik, Stockholm</t>
  </si>
  <si>
    <t>Uppdrag om finansiering via dispositionsrätt, Örebro</t>
  </si>
  <si>
    <t>Del av förstärkning civilt försvar, kärnkraftslän 2023</t>
  </si>
  <si>
    <t>Statlig service och närvaro, Örebro</t>
  </si>
  <si>
    <t>Andel fem parametrar</t>
  </si>
  <si>
    <t>RB23</t>
  </si>
  <si>
    <t>BP23</t>
  </si>
  <si>
    <t>BP22</t>
  </si>
  <si>
    <t>Konsultationsordning, Jämtland, Västerbotten och Norrbotten</t>
  </si>
  <si>
    <t>Prövning havsbaserad vindkraft, Örebro</t>
  </si>
  <si>
    <t>Åtgärder översvämningsmyggor, Gävleborg</t>
  </si>
  <si>
    <t>Fördelning Anslag 5:1 Länsstyrelserna m.m. per länsstyrelse - Riktade medel</t>
  </si>
  <si>
    <t>Fördelning Anslag 5:1 Länsstyrelserna m.m. per länsstyrelse - Koncentration och parametrar</t>
  </si>
  <si>
    <t>Samordning mäns våld mot kvinnor, Östergötland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</si>
</sst>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0.0000"/>
    <numFmt numFmtId="166" formatCode="###\ ###\ ###\ ##0"/>
  </numFmts>
  <fonts count="2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8"/>
      <color indexed="10"/>
      <name val="Arial"/>
      <family val="2"/>
    </font>
    <font>
      <b/>
      <sz val="10"/>
      <name val="Arial"/>
      <family val="2"/>
    </font>
    <font>
      <b/>
      <sz val="12"/>
      <color theme="0"/>
      <name val="Arial"/>
      <family val="2"/>
    </font>
    <font>
      <b/>
      <sz val="10"/>
      <color theme="0"/>
      <name val="Arial"/>
      <family val="2"/>
    </font>
    <font>
      <b/>
      <sz val="8"/>
      <name val="Arial"/>
      <family val="2"/>
    </font>
    <font>
      <strike/>
      <sz val="10"/>
      <name val="Arial"/>
      <family val="2"/>
    </font>
    <font>
      <strike/>
      <sz val="8"/>
      <name val="Arial"/>
      <family val="2"/>
    </font>
    <font>
      <b/>
      <strike/>
      <sz val="8"/>
      <name val="Arial"/>
      <family val="2"/>
    </font>
    <font>
      <sz val="8"/>
      <name val="OrigGarmnd BT"/>
      <family val="1"/>
    </font>
    <font>
      <b/>
      <sz val="8"/>
      <color theme="0" tint="-0.249977111117893"/>
      <name val="Arial"/>
      <family val="2"/>
    </font>
    <font>
      <sz val="8"/>
      <color theme="0" tint="-0.249977111117893"/>
      <name val="Arial"/>
      <family val="2"/>
    </font>
    <font>
      <strike/>
      <sz val="8"/>
      <name val="OrigGarmnd BT"/>
      <family val="1"/>
    </font>
    <font>
      <b/>
      <sz val="8"/>
      <name val="OrigGarmnd BT"/>
      <family val="1"/>
    </font>
    <font>
      <sz val="10"/>
      <color rgb="FFFF0000"/>
      <name val="Arial"/>
      <family val="2"/>
    </font>
    <font>
      <sz val="10"/>
      <color theme="1"/>
      <name val="Arial"/>
      <family val="2"/>
    </font>
    <font>
      <b/>
      <sz val="18"/>
      <name val="Trade Gothic LT Std Cn"/>
      <family val="3"/>
    </font>
    <font>
      <i/>
      <sz val="9"/>
      <name val="Arial"/>
      <family val="2"/>
    </font>
    <font>
      <sz val="10"/>
      <color rgb="FF000000"/>
      <name val="Arial"/>
      <family val="2"/>
    </font>
    <font>
      <sz val="11"/>
      <name val="Calibri"/>
      <family val="2"/>
    </font>
    <font>
      <sz val="11"/>
      <color rgb="FFFFFFFF"/>
      <name val="Calibri"/>
      <family val="2"/>
      <scheme val="minor"/>
    </font>
    <font>
      <sz val="13.3"/>
      <color rgb="FFFFFFFF"/>
      <name val="Calibri"/>
      <family val="2"/>
      <scheme val="minor"/>
    </font>
    <font>
      <sz val="11"/>
      <name val="Calibri"/>
    </font>
    <font>
      <sz val="9"/>
      <name val="Arial"/>
      <family val="2"/>
    </font>
    <font>
      <b/>
      <sz val="10"/>
      <color rgb="FFFF0000"/>
      <name val="Arial"/>
      <family val="2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41"/>
      </patternFill>
    </fill>
    <fill>
      <patternFill patternType="solid">
        <fgColor theme="1"/>
        <bgColor indexed="64"/>
      </patternFill>
    </fill>
    <fill>
      <patternFill patternType="solid">
        <fgColor theme="1"/>
        <bgColor indexed="41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2" fillId="0" borderId="0"/>
    <xf numFmtId="0" fontId="25" fillId="0" borderId="0"/>
  </cellStyleXfs>
  <cellXfs count="196">
    <xf numFmtId="0" fontId="0" fillId="0" borderId="0" xfId="0"/>
    <xf numFmtId="0" fontId="2" fillId="2" borderId="0" xfId="2" applyFill="1" applyAlignment="1">
      <alignment horizontal="left" vertical="top"/>
    </xf>
    <xf numFmtId="0" fontId="2" fillId="2" borderId="0" xfId="2" applyFill="1" applyAlignment="1">
      <alignment horizontal="right"/>
    </xf>
    <xf numFmtId="0" fontId="8" fillId="3" borderId="6" xfId="2" applyFont="1" applyFill="1" applyBorder="1"/>
    <xf numFmtId="3" fontId="3" fillId="3" borderId="0" xfId="2" applyNumberFormat="1" applyFont="1" applyFill="1" applyAlignment="1">
      <alignment horizontal="right"/>
    </xf>
    <xf numFmtId="3" fontId="3" fillId="2" borderId="0" xfId="2" applyNumberFormat="1" applyFont="1" applyFill="1"/>
    <xf numFmtId="3" fontId="11" fillId="2" borderId="11" xfId="2" applyNumberFormat="1" applyFont="1" applyFill="1" applyBorder="1" applyAlignment="1">
      <alignment horizontal="right"/>
    </xf>
    <xf numFmtId="0" fontId="8" fillId="2" borderId="0" xfId="2" applyFont="1" applyFill="1"/>
    <xf numFmtId="0" fontId="3" fillId="2" borderId="0" xfId="2" applyFont="1" applyFill="1"/>
    <xf numFmtId="0" fontId="13" fillId="2" borderId="0" xfId="2" applyFont="1" applyFill="1"/>
    <xf numFmtId="164" fontId="14" fillId="2" borderId="0" xfId="1" applyNumberFormat="1" applyFont="1" applyFill="1"/>
    <xf numFmtId="0" fontId="10" fillId="2" borderId="0" xfId="2" applyFont="1" applyFill="1"/>
    <xf numFmtId="0" fontId="15" fillId="2" borderId="0" xfId="2" applyFont="1" applyFill="1"/>
    <xf numFmtId="0" fontId="12" fillId="2" borderId="0" xfId="2" applyFont="1" applyFill="1"/>
    <xf numFmtId="0" fontId="16" fillId="2" borderId="0" xfId="2" applyFont="1" applyFill="1"/>
    <xf numFmtId="0" fontId="3" fillId="2" borderId="11" xfId="2" applyFont="1" applyFill="1" applyBorder="1" applyAlignment="1">
      <alignment horizontal="right"/>
    </xf>
    <xf numFmtId="3" fontId="3" fillId="2" borderId="11" xfId="2" applyNumberFormat="1" applyFont="1" applyFill="1" applyBorder="1" applyAlignment="1">
      <alignment horizontal="right"/>
    </xf>
    <xf numFmtId="3" fontId="3" fillId="2" borderId="0" xfId="2" applyNumberFormat="1" applyFont="1" applyFill="1" applyAlignment="1">
      <alignment horizontal="right"/>
    </xf>
    <xf numFmtId="3" fontId="10" fillId="2" borderId="0" xfId="2" applyNumberFormat="1" applyFont="1" applyFill="1"/>
    <xf numFmtId="0" fontId="11" fillId="2" borderId="0" xfId="2" applyFont="1" applyFill="1"/>
    <xf numFmtId="3" fontId="11" fillId="2" borderId="0" xfId="2" applyNumberFormat="1" applyFont="1" applyFill="1"/>
    <xf numFmtId="0" fontId="3" fillId="2" borderId="0" xfId="2" applyFont="1" applyFill="1" applyAlignment="1">
      <alignment horizontal="right"/>
    </xf>
    <xf numFmtId="0" fontId="19" fillId="2" borderId="0" xfId="2" applyFont="1" applyFill="1"/>
    <xf numFmtId="0" fontId="2" fillId="2" borderId="0" xfId="2" applyFill="1"/>
    <xf numFmtId="0" fontId="0" fillId="2" borderId="0" xfId="0" applyFill="1"/>
    <xf numFmtId="0" fontId="5" fillId="2" borderId="13" xfId="2" applyFont="1" applyFill="1" applyBorder="1"/>
    <xf numFmtId="3" fontId="2" fillId="2" borderId="0" xfId="2" applyNumberFormat="1" applyFill="1" applyAlignment="1">
      <alignment horizontal="right"/>
    </xf>
    <xf numFmtId="0" fontId="17" fillId="2" borderId="14" xfId="2" applyFont="1" applyFill="1" applyBorder="1" applyAlignment="1">
      <alignment horizontal="right"/>
    </xf>
    <xf numFmtId="0" fontId="5" fillId="2" borderId="19" xfId="2" applyFont="1" applyFill="1" applyBorder="1" applyAlignment="1">
      <alignment horizontal="right"/>
    </xf>
    <xf numFmtId="0" fontId="2" fillId="2" borderId="9" xfId="2" applyFill="1" applyBorder="1" applyAlignment="1">
      <alignment horizontal="right"/>
    </xf>
    <xf numFmtId="2" fontId="2" fillId="2" borderId="0" xfId="2" applyNumberFormat="1" applyFill="1" applyAlignment="1">
      <alignment horizontal="right"/>
    </xf>
    <xf numFmtId="0" fontId="5" fillId="2" borderId="0" xfId="2" applyFont="1" applyFill="1"/>
    <xf numFmtId="3" fontId="5" fillId="2" borderId="0" xfId="2" applyNumberFormat="1" applyFont="1" applyFill="1"/>
    <xf numFmtId="3" fontId="5" fillId="2" borderId="14" xfId="2" applyNumberFormat="1" applyFont="1" applyFill="1" applyBorder="1"/>
    <xf numFmtId="0" fontId="2" fillId="2" borderId="13" xfId="2" applyFill="1" applyBorder="1"/>
    <xf numFmtId="3" fontId="2" fillId="2" borderId="14" xfId="2" applyNumberFormat="1" applyFill="1" applyBorder="1"/>
    <xf numFmtId="0" fontId="2" fillId="2" borderId="17" xfId="2" applyFill="1" applyBorder="1"/>
    <xf numFmtId="164" fontId="2" fillId="2" borderId="18" xfId="3" applyNumberFormat="1" applyFill="1" applyBorder="1"/>
    <xf numFmtId="3" fontId="2" fillId="2" borderId="19" xfId="2" applyNumberFormat="1" applyFill="1" applyBorder="1"/>
    <xf numFmtId="0" fontId="18" fillId="2" borderId="0" xfId="0" applyFont="1" applyFill="1"/>
    <xf numFmtId="0" fontId="20" fillId="2" borderId="9" xfId="2" applyFont="1" applyFill="1" applyBorder="1"/>
    <xf numFmtId="0" fontId="20" fillId="2" borderId="0" xfId="2" applyFont="1" applyFill="1"/>
    <xf numFmtId="0" fontId="4" fillId="2" borderId="0" xfId="2" applyFont="1" applyFill="1" applyAlignment="1">
      <alignment horizontal="right"/>
    </xf>
    <xf numFmtId="164" fontId="3" fillId="2" borderId="0" xfId="2" applyNumberFormat="1" applyFont="1" applyFill="1" applyAlignment="1">
      <alignment horizontal="right"/>
    </xf>
    <xf numFmtId="3" fontId="5" fillId="2" borderId="0" xfId="2" applyNumberFormat="1" applyFont="1" applyFill="1" applyAlignment="1">
      <alignment horizontal="right"/>
    </xf>
    <xf numFmtId="0" fontId="8" fillId="2" borderId="5" xfId="2" applyFont="1" applyFill="1" applyBorder="1"/>
    <xf numFmtId="0" fontId="8" fillId="2" borderId="0" xfId="2" applyFont="1" applyFill="1" applyAlignment="1">
      <alignment horizontal="center" wrapText="1"/>
    </xf>
    <xf numFmtId="0" fontId="8" fillId="2" borderId="15" xfId="2" applyFont="1" applyFill="1" applyBorder="1" applyAlignment="1">
      <alignment horizontal="center" wrapText="1"/>
    </xf>
    <xf numFmtId="3" fontId="8" fillId="2" borderId="6" xfId="2" applyNumberFormat="1" applyFont="1" applyFill="1" applyBorder="1" applyAlignment="1">
      <alignment horizontal="center" wrapText="1"/>
    </xf>
    <xf numFmtId="0" fontId="3" fillId="2" borderId="0" xfId="2" applyFont="1" applyFill="1" applyAlignment="1">
      <alignment horizontal="center" wrapText="1"/>
    </xf>
    <xf numFmtId="0" fontId="8" fillId="2" borderId="1" xfId="2" applyFont="1" applyFill="1" applyBorder="1"/>
    <xf numFmtId="0" fontId="8" fillId="2" borderId="20" xfId="2" applyFont="1" applyFill="1" applyBorder="1" applyAlignment="1">
      <alignment horizontal="center" vertical="center"/>
    </xf>
    <xf numFmtId="0" fontId="8" fillId="2" borderId="4" xfId="2" applyFont="1" applyFill="1" applyBorder="1" applyAlignment="1">
      <alignment horizontal="center"/>
    </xf>
    <xf numFmtId="0" fontId="8" fillId="2" borderId="5" xfId="2" applyFont="1" applyFill="1" applyBorder="1" applyAlignment="1">
      <alignment horizontal="right"/>
    </xf>
    <xf numFmtId="0" fontId="8" fillId="2" borderId="0" xfId="2" applyFont="1" applyFill="1" applyAlignment="1">
      <alignment horizontal="right"/>
    </xf>
    <xf numFmtId="0" fontId="8" fillId="2" borderId="0" xfId="2" applyFont="1" applyFill="1" applyAlignment="1">
      <alignment horizontal="left" vertical="top"/>
    </xf>
    <xf numFmtId="0" fontId="8" fillId="2" borderId="0" xfId="2" applyFont="1" applyFill="1" applyAlignment="1">
      <alignment vertical="top"/>
    </xf>
    <xf numFmtId="0" fontId="8" fillId="2" borderId="15" xfId="2" applyFont="1" applyFill="1" applyBorder="1" applyAlignment="1">
      <alignment horizontal="left" vertical="top"/>
    </xf>
    <xf numFmtId="3" fontId="8" fillId="2" borderId="6" xfId="2" applyNumberFormat="1" applyFont="1" applyFill="1" applyBorder="1"/>
    <xf numFmtId="0" fontId="8" fillId="2" borderId="15" xfId="2" applyFont="1" applyFill="1" applyBorder="1" applyAlignment="1">
      <alignment horizontal="right"/>
    </xf>
    <xf numFmtId="3" fontId="8" fillId="2" borderId="15" xfId="2" applyNumberFormat="1" applyFont="1" applyFill="1" applyBorder="1" applyAlignment="1">
      <alignment horizontal="right"/>
    </xf>
    <xf numFmtId="0" fontId="8" fillId="2" borderId="3" xfId="2" applyFont="1" applyFill="1" applyBorder="1"/>
    <xf numFmtId="3" fontId="3" fillId="2" borderId="10" xfId="2" applyNumberFormat="1" applyFont="1" applyFill="1" applyBorder="1"/>
    <xf numFmtId="3" fontId="3" fillId="2" borderId="11" xfId="2" applyNumberFormat="1" applyFont="1" applyFill="1" applyBorder="1"/>
    <xf numFmtId="3" fontId="8" fillId="2" borderId="12" xfId="2" applyNumberFormat="1" applyFont="1" applyFill="1" applyBorder="1"/>
    <xf numFmtId="3" fontId="3" fillId="2" borderId="6" xfId="2" applyNumberFormat="1" applyFont="1" applyFill="1" applyBorder="1"/>
    <xf numFmtId="3" fontId="8" fillId="2" borderId="15" xfId="2" applyNumberFormat="1" applyFont="1" applyFill="1" applyBorder="1"/>
    <xf numFmtId="0" fontId="8" fillId="2" borderId="6" xfId="2" applyFont="1" applyFill="1" applyBorder="1"/>
    <xf numFmtId="3" fontId="8" fillId="2" borderId="1" xfId="2" applyNumberFormat="1" applyFont="1" applyFill="1" applyBorder="1" applyAlignment="1">
      <alignment horizontal="right"/>
    </xf>
    <xf numFmtId="3" fontId="8" fillId="2" borderId="20" xfId="2" applyNumberFormat="1" applyFont="1" applyFill="1" applyBorder="1" applyAlignment="1">
      <alignment horizontal="right"/>
    </xf>
    <xf numFmtId="9" fontId="3" fillId="2" borderId="20" xfId="3" applyFont="1" applyFill="1" applyBorder="1"/>
    <xf numFmtId="9" fontId="3" fillId="2" borderId="4" xfId="3" applyFont="1" applyFill="1" applyBorder="1"/>
    <xf numFmtId="3" fontId="8" fillId="2" borderId="2" xfId="2" applyNumberFormat="1" applyFont="1" applyFill="1" applyBorder="1"/>
    <xf numFmtId="3" fontId="8" fillId="2" borderId="20" xfId="2" applyNumberFormat="1" applyFont="1" applyFill="1" applyBorder="1"/>
    <xf numFmtId="3" fontId="8" fillId="2" borderId="4" xfId="2" applyNumberFormat="1" applyFont="1" applyFill="1" applyBorder="1"/>
    <xf numFmtId="0" fontId="8" fillId="2" borderId="2" xfId="2" applyFont="1" applyFill="1" applyBorder="1"/>
    <xf numFmtId="9" fontId="3" fillId="2" borderId="0" xfId="3" applyFont="1" applyFill="1"/>
    <xf numFmtId="0" fontId="3" fillId="3" borderId="10" xfId="2" applyFont="1" applyFill="1" applyBorder="1" applyAlignment="1">
      <alignment horizontal="center" wrapText="1"/>
    </xf>
    <xf numFmtId="0" fontId="8" fillId="3" borderId="11" xfId="2" applyFont="1" applyFill="1" applyBorder="1" applyAlignment="1">
      <alignment horizontal="center" wrapText="1"/>
    </xf>
    <xf numFmtId="0" fontId="3" fillId="3" borderId="8" xfId="2" applyFont="1" applyFill="1" applyBorder="1"/>
    <xf numFmtId="0" fontId="8" fillId="3" borderId="16" xfId="2" applyFont="1" applyFill="1" applyBorder="1" applyAlignment="1">
      <alignment horizontal="left" vertical="top"/>
    </xf>
    <xf numFmtId="0" fontId="8" fillId="2" borderId="1" xfId="2" applyFont="1" applyFill="1" applyBorder="1" applyAlignment="1">
      <alignment horizontal="right"/>
    </xf>
    <xf numFmtId="3" fontId="20" fillId="2" borderId="11" xfId="2" applyNumberFormat="1" applyFont="1" applyFill="1" applyBorder="1" applyAlignment="1">
      <alignment horizontal="left"/>
    </xf>
    <xf numFmtId="0" fontId="2" fillId="2" borderId="0" xfId="2" applyFill="1" applyAlignment="1">
      <alignment horizontal="right"/>
    </xf>
    <xf numFmtId="0" fontId="6" fillId="5" borderId="11" xfId="2" applyFont="1" applyFill="1" applyBorder="1" applyAlignment="1">
      <alignment horizontal="center" vertical="center"/>
    </xf>
    <xf numFmtId="0" fontId="6" fillId="5" borderId="16" xfId="2" applyFont="1" applyFill="1" applyBorder="1" applyAlignment="1">
      <alignment horizontal="center" vertical="center"/>
    </xf>
    <xf numFmtId="0" fontId="2" fillId="2" borderId="0" xfId="2" applyFill="1" applyBorder="1" applyAlignment="1">
      <alignment horizontal="right"/>
    </xf>
    <xf numFmtId="3" fontId="0" fillId="2" borderId="0" xfId="0" applyNumberFormat="1" applyFill="1"/>
    <xf numFmtId="0" fontId="17" fillId="2" borderId="0" xfId="2" applyFont="1" applyFill="1" applyBorder="1" applyAlignment="1">
      <alignment horizontal="right"/>
    </xf>
    <xf numFmtId="0" fontId="9" fillId="2" borderId="0" xfId="2" applyFont="1" applyFill="1" applyBorder="1" applyAlignment="1">
      <alignment horizontal="right"/>
    </xf>
    <xf numFmtId="0" fontId="2" fillId="2" borderId="0" xfId="2" applyFill="1" applyBorder="1" applyAlignment="1">
      <alignment horizontal="left"/>
    </xf>
    <xf numFmtId="0" fontId="5" fillId="2" borderId="0" xfId="2" applyFont="1" applyFill="1" applyBorder="1" applyAlignment="1">
      <alignment horizontal="right"/>
    </xf>
    <xf numFmtId="165" fontId="3" fillId="2" borderId="0" xfId="2" applyNumberFormat="1" applyFont="1" applyFill="1"/>
    <xf numFmtId="3" fontId="8" fillId="0" borderId="20" xfId="2" applyNumberFormat="1" applyFont="1" applyFill="1" applyBorder="1" applyAlignment="1">
      <alignment horizontal="right"/>
    </xf>
    <xf numFmtId="0" fontId="8" fillId="0" borderId="0" xfId="2" applyFont="1" applyFill="1" applyAlignment="1">
      <alignment horizontal="center" wrapText="1"/>
    </xf>
    <xf numFmtId="1" fontId="3" fillId="2" borderId="0" xfId="2" applyNumberFormat="1" applyFont="1" applyFill="1" applyAlignment="1">
      <alignment horizontal="right"/>
    </xf>
    <xf numFmtId="0" fontId="3" fillId="2" borderId="0" xfId="2" applyFont="1" applyFill="1" applyAlignment="1">
      <alignment horizontal="left"/>
    </xf>
    <xf numFmtId="0" fontId="2" fillId="0" borderId="0" xfId="2" applyFill="1" applyBorder="1" applyAlignment="1">
      <alignment horizontal="right"/>
    </xf>
    <xf numFmtId="10" fontId="3" fillId="0" borderId="0" xfId="3" applyNumberFormat="1" applyFont="1" applyFill="1" applyBorder="1" applyAlignment="1">
      <alignment horizontal="right"/>
    </xf>
    <xf numFmtId="0" fontId="23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" fillId="2" borderId="0" xfId="2" applyFill="1" applyAlignment="1">
      <alignment horizontal="right"/>
    </xf>
    <xf numFmtId="0" fontId="2" fillId="2" borderId="0" xfId="2" applyFill="1" applyAlignment="1">
      <alignment horizontal="right"/>
    </xf>
    <xf numFmtId="0" fontId="8" fillId="2" borderId="0" xfId="2" applyFont="1" applyFill="1" applyBorder="1"/>
    <xf numFmtId="0" fontId="8" fillId="2" borderId="0" xfId="2" applyFont="1" applyFill="1" applyBorder="1" applyAlignment="1">
      <alignment horizontal="center" wrapText="1"/>
    </xf>
    <xf numFmtId="0" fontId="8" fillId="2" borderId="0" xfId="2" applyFont="1" applyFill="1" applyBorder="1" applyAlignment="1">
      <alignment horizontal="center"/>
    </xf>
    <xf numFmtId="3" fontId="8" fillId="2" borderId="0" xfId="2" applyNumberFormat="1" applyFont="1" applyFill="1" applyBorder="1" applyAlignment="1">
      <alignment horizontal="right"/>
    </xf>
    <xf numFmtId="3" fontId="11" fillId="2" borderId="0" xfId="2" applyNumberFormat="1" applyFont="1" applyFill="1" applyBorder="1" applyAlignment="1">
      <alignment horizontal="right"/>
    </xf>
    <xf numFmtId="0" fontId="4" fillId="2" borderId="0" xfId="2" applyFont="1" applyFill="1" applyAlignment="1">
      <alignment horizontal="center"/>
    </xf>
    <xf numFmtId="0" fontId="8" fillId="3" borderId="16" xfId="2" applyFont="1" applyFill="1" applyBorder="1" applyAlignment="1">
      <alignment horizontal="center" wrapText="1"/>
    </xf>
    <xf numFmtId="0" fontId="8" fillId="0" borderId="20" xfId="2" applyFont="1" applyFill="1" applyBorder="1" applyAlignment="1">
      <alignment horizontal="center" vertical="center"/>
    </xf>
    <xf numFmtId="0" fontId="0" fillId="2" borderId="0" xfId="0" applyFill="1" applyBorder="1"/>
    <xf numFmtId="0" fontId="7" fillId="4" borderId="22" xfId="2" applyFont="1" applyFill="1" applyBorder="1"/>
    <xf numFmtId="0" fontId="7" fillId="4" borderId="9" xfId="2" applyFont="1" applyFill="1" applyBorder="1" applyAlignment="1">
      <alignment horizontal="center"/>
    </xf>
    <xf numFmtId="3" fontId="7" fillId="4" borderId="23" xfId="2" applyNumberFormat="1" applyFont="1" applyFill="1" applyBorder="1" applyAlignment="1">
      <alignment horizontal="right"/>
    </xf>
    <xf numFmtId="164" fontId="5" fillId="2" borderId="0" xfId="2" applyNumberFormat="1" applyFont="1" applyFill="1" applyBorder="1"/>
    <xf numFmtId="164" fontId="2" fillId="2" borderId="0" xfId="3" applyNumberFormat="1" applyFill="1" applyBorder="1"/>
    <xf numFmtId="164" fontId="2" fillId="2" borderId="0" xfId="3" quotePrefix="1" applyNumberFormat="1" applyFill="1" applyBorder="1"/>
    <xf numFmtId="166" fontId="3" fillId="2" borderId="0" xfId="2" applyNumberFormat="1" applyFont="1" applyFill="1"/>
    <xf numFmtId="10" fontId="3" fillId="2" borderId="11" xfId="3" applyNumberFormat="1" applyFont="1" applyFill="1" applyBorder="1" applyAlignment="1">
      <alignment horizontal="right"/>
    </xf>
    <xf numFmtId="164" fontId="3" fillId="2" borderId="11" xfId="3" applyNumberFormat="1" applyFont="1" applyFill="1" applyBorder="1" applyAlignment="1">
      <alignment horizontal="right"/>
    </xf>
    <xf numFmtId="10" fontId="3" fillId="2" borderId="12" xfId="3" applyNumberFormat="1" applyFont="1" applyFill="1" applyBorder="1" applyAlignment="1">
      <alignment horizontal="right"/>
    </xf>
    <xf numFmtId="10" fontId="3" fillId="2" borderId="0" xfId="3" applyNumberFormat="1" applyFont="1" applyFill="1" applyAlignment="1">
      <alignment horizontal="right"/>
    </xf>
    <xf numFmtId="164" fontId="3" fillId="2" borderId="0" xfId="3" applyNumberFormat="1" applyFont="1" applyFill="1" applyAlignment="1">
      <alignment horizontal="right"/>
    </xf>
    <xf numFmtId="10" fontId="3" fillId="2" borderId="15" xfId="3" applyNumberFormat="1" applyFont="1" applyFill="1" applyBorder="1" applyAlignment="1">
      <alignment horizontal="right"/>
    </xf>
    <xf numFmtId="3" fontId="3" fillId="2" borderId="0" xfId="2" applyNumberFormat="1" applyFont="1" applyFill="1" applyBorder="1"/>
    <xf numFmtId="0" fontId="3" fillId="2" borderId="0" xfId="2" applyFont="1" applyFill="1" applyBorder="1" applyAlignment="1">
      <alignment horizontal="right"/>
    </xf>
    <xf numFmtId="0" fontId="3" fillId="2" borderId="15" xfId="2" applyFont="1" applyFill="1" applyBorder="1" applyAlignment="1">
      <alignment horizontal="right"/>
    </xf>
    <xf numFmtId="0" fontId="2" fillId="2" borderId="0" xfId="2" applyFill="1" applyAlignment="1">
      <alignment horizontal="right"/>
    </xf>
    <xf numFmtId="3" fontId="2" fillId="2" borderId="0" xfId="2" applyNumberFormat="1" applyFill="1"/>
    <xf numFmtId="0" fontId="27" fillId="2" borderId="0" xfId="2" applyFont="1" applyFill="1" applyAlignment="1">
      <alignment horizontal="left"/>
    </xf>
    <xf numFmtId="0" fontId="8" fillId="0" borderId="10" xfId="2" applyFont="1" applyFill="1" applyBorder="1" applyAlignment="1">
      <alignment horizontal="center" wrapText="1"/>
    </xf>
    <xf numFmtId="0" fontId="8" fillId="0" borderId="11" xfId="2" applyFont="1" applyFill="1" applyBorder="1" applyAlignment="1">
      <alignment horizontal="center" wrapText="1"/>
    </xf>
    <xf numFmtId="0" fontId="8" fillId="0" borderId="12" xfId="2" applyFont="1" applyFill="1" applyBorder="1" applyAlignment="1">
      <alignment horizontal="center" wrapText="1"/>
    </xf>
    <xf numFmtId="0" fontId="8" fillId="0" borderId="4" xfId="2" applyFont="1" applyFill="1" applyBorder="1" applyAlignment="1">
      <alignment horizontal="left" vertical="top"/>
    </xf>
    <xf numFmtId="3" fontId="3" fillId="0" borderId="12" xfId="2" applyNumberFormat="1" applyFont="1" applyFill="1" applyBorder="1" applyAlignment="1">
      <alignment horizontal="right"/>
    </xf>
    <xf numFmtId="3" fontId="3" fillId="0" borderId="15" xfId="2" applyNumberFormat="1" applyFont="1" applyFill="1" applyBorder="1" applyAlignment="1">
      <alignment horizontal="right"/>
    </xf>
    <xf numFmtId="3" fontId="8" fillId="0" borderId="20" xfId="2" applyNumberFormat="1" applyFont="1" applyFill="1" applyBorder="1"/>
    <xf numFmtId="3" fontId="8" fillId="0" borderId="4" xfId="2" applyNumberFormat="1" applyFont="1" applyFill="1" applyBorder="1" applyAlignment="1">
      <alignment horizontal="right"/>
    </xf>
    <xf numFmtId="0" fontId="8" fillId="0" borderId="16" xfId="2" applyFont="1" applyFill="1" applyBorder="1" applyAlignment="1">
      <alignment horizontal="left" vertical="top"/>
    </xf>
    <xf numFmtId="3" fontId="3" fillId="0" borderId="0" xfId="2" applyNumberFormat="1" applyFont="1" applyFill="1" applyAlignment="1">
      <alignment horizontal="right"/>
    </xf>
    <xf numFmtId="0" fontId="2" fillId="2" borderId="0" xfId="2" applyFill="1" applyBorder="1"/>
    <xf numFmtId="3" fontId="26" fillId="2" borderId="0" xfId="2" applyNumberFormat="1" applyFont="1" applyFill="1" applyBorder="1"/>
    <xf numFmtId="0" fontId="3" fillId="2" borderId="0" xfId="2" applyFont="1" applyFill="1" applyBorder="1"/>
    <xf numFmtId="0" fontId="2" fillId="2" borderId="0" xfId="2" applyFill="1" applyAlignment="1">
      <alignment horizontal="right"/>
    </xf>
    <xf numFmtId="3" fontId="8" fillId="2" borderId="4" xfId="2" applyNumberFormat="1" applyFont="1" applyFill="1" applyBorder="1" applyAlignment="1">
      <alignment horizontal="right"/>
    </xf>
    <xf numFmtId="0" fontId="8" fillId="2" borderId="11" xfId="2" applyFont="1" applyFill="1" applyBorder="1" applyAlignment="1">
      <alignment horizontal="center" wrapText="1"/>
    </xf>
    <xf numFmtId="0" fontId="8" fillId="2" borderId="10" xfId="2" applyFont="1" applyFill="1" applyBorder="1" applyAlignment="1">
      <alignment horizontal="center" wrapText="1"/>
    </xf>
    <xf numFmtId="0" fontId="8" fillId="2" borderId="16" xfId="2" applyFont="1" applyFill="1" applyBorder="1" applyAlignment="1">
      <alignment horizontal="left" vertical="top"/>
    </xf>
    <xf numFmtId="0" fontId="8" fillId="2" borderId="8" xfId="2" applyFont="1" applyFill="1" applyBorder="1" applyAlignment="1">
      <alignment horizontal="right"/>
    </xf>
    <xf numFmtId="3" fontId="8" fillId="2" borderId="6" xfId="2" applyNumberFormat="1" applyFont="1" applyFill="1" applyBorder="1" applyAlignment="1">
      <alignment horizontal="right"/>
    </xf>
    <xf numFmtId="3" fontId="5" fillId="2" borderId="18" xfId="2" applyNumberFormat="1" applyFont="1" applyFill="1" applyBorder="1" applyAlignment="1">
      <alignment horizontal="right"/>
    </xf>
    <xf numFmtId="0" fontId="0" fillId="2" borderId="0" xfId="0" applyFill="1" applyAlignment="1"/>
    <xf numFmtId="3" fontId="3" fillId="2" borderId="6" xfId="2" applyNumberFormat="1" applyFont="1" applyFill="1" applyBorder="1" applyAlignment="1">
      <alignment horizontal="right"/>
    </xf>
    <xf numFmtId="3" fontId="3" fillId="2" borderId="0" xfId="2" applyNumberFormat="1" applyFont="1" applyFill="1" applyBorder="1" applyAlignment="1">
      <alignment horizontal="right"/>
    </xf>
    <xf numFmtId="0" fontId="8" fillId="0" borderId="20" xfId="2" applyFont="1" applyFill="1" applyBorder="1"/>
    <xf numFmtId="0" fontId="8" fillId="0" borderId="2" xfId="2" applyFont="1" applyFill="1" applyBorder="1" applyAlignment="1">
      <alignment horizontal="center" vertical="top"/>
    </xf>
    <xf numFmtId="0" fontId="8" fillId="0" borderId="20" xfId="2" applyFont="1" applyFill="1" applyBorder="1" applyAlignment="1">
      <alignment horizontal="center" vertical="top"/>
    </xf>
    <xf numFmtId="0" fontId="8" fillId="2" borderId="16" xfId="2" applyFont="1" applyFill="1" applyBorder="1" applyAlignment="1">
      <alignment horizontal="center" vertical="top"/>
    </xf>
    <xf numFmtId="0" fontId="6" fillId="4" borderId="22" xfId="2" applyFont="1" applyFill="1" applyBorder="1"/>
    <xf numFmtId="0" fontId="6" fillId="4" borderId="9" xfId="2" applyFont="1" applyFill="1" applyBorder="1"/>
    <xf numFmtId="0" fontId="7" fillId="4" borderId="23" xfId="2" applyFont="1" applyFill="1" applyBorder="1" applyAlignment="1">
      <alignment horizontal="right"/>
    </xf>
    <xf numFmtId="3" fontId="21" fillId="2" borderId="0" xfId="2" applyNumberFormat="1" applyFont="1" applyFill="1" applyBorder="1" applyAlignment="1">
      <alignment horizontal="right"/>
    </xf>
    <xf numFmtId="3" fontId="2" fillId="2" borderId="0" xfId="2" applyNumberFormat="1" applyFill="1" applyBorder="1" applyAlignment="1">
      <alignment horizontal="right"/>
    </xf>
    <xf numFmtId="3" fontId="2" fillId="0" borderId="0" xfId="2" applyNumberFormat="1" applyFont="1" applyFill="1" applyBorder="1" applyAlignment="1">
      <alignment horizontal="right"/>
    </xf>
    <xf numFmtId="3" fontId="2" fillId="2" borderId="0" xfId="2" applyNumberFormat="1" applyFont="1" applyFill="1" applyBorder="1" applyAlignment="1">
      <alignment horizontal="right"/>
    </xf>
    <xf numFmtId="3" fontId="6" fillId="4" borderId="9" xfId="2" applyNumberFormat="1" applyFont="1" applyFill="1" applyBorder="1" applyAlignment="1">
      <alignment horizontal="right"/>
    </xf>
    <xf numFmtId="0" fontId="2" fillId="2" borderId="14" xfId="2" applyFont="1" applyFill="1" applyBorder="1" applyAlignment="1">
      <alignment horizontal="right"/>
    </xf>
    <xf numFmtId="0" fontId="2" fillId="2" borderId="14" xfId="2" applyFill="1" applyBorder="1" applyAlignment="1">
      <alignment horizontal="right"/>
    </xf>
    <xf numFmtId="0" fontId="2" fillId="2" borderId="0" xfId="2" applyFill="1" applyBorder="1" applyAlignment="1">
      <alignment horizontal="right"/>
    </xf>
    <xf numFmtId="0" fontId="6" fillId="5" borderId="12" xfId="2" applyFont="1" applyFill="1" applyBorder="1" applyAlignment="1">
      <alignment horizontal="center" vertical="center"/>
    </xf>
    <xf numFmtId="0" fontId="6" fillId="5" borderId="21" xfId="2" applyFont="1" applyFill="1" applyBorder="1" applyAlignment="1">
      <alignment horizontal="center" vertical="center"/>
    </xf>
    <xf numFmtId="0" fontId="8" fillId="2" borderId="3" xfId="2" applyFont="1" applyFill="1" applyBorder="1" applyAlignment="1">
      <alignment horizontal="center" wrapText="1"/>
    </xf>
    <xf numFmtId="0" fontId="3" fillId="2" borderId="7" xfId="2" applyFont="1" applyFill="1" applyBorder="1" applyAlignment="1">
      <alignment horizontal="right"/>
    </xf>
    <xf numFmtId="10" fontId="3" fillId="2" borderId="5" xfId="2" applyNumberFormat="1" applyFont="1" applyFill="1" applyBorder="1" applyAlignment="1">
      <alignment horizontal="right"/>
    </xf>
    <xf numFmtId="10" fontId="3" fillId="2" borderId="1" xfId="2" applyNumberFormat="1" applyFont="1" applyFill="1" applyBorder="1" applyAlignment="1">
      <alignment horizontal="right"/>
    </xf>
    <xf numFmtId="0" fontId="2" fillId="2" borderId="13" xfId="2" applyFill="1" applyBorder="1" applyAlignment="1">
      <alignment horizontal="right"/>
    </xf>
    <xf numFmtId="0" fontId="2" fillId="2" borderId="0" xfId="2" applyFill="1" applyBorder="1" applyAlignment="1">
      <alignment horizontal="right"/>
    </xf>
    <xf numFmtId="0" fontId="2" fillId="2" borderId="13" xfId="2" applyFont="1" applyFill="1" applyBorder="1" applyAlignment="1">
      <alignment horizontal="right"/>
    </xf>
    <xf numFmtId="0" fontId="2" fillId="2" borderId="0" xfId="2" applyFont="1" applyFill="1" applyBorder="1" applyAlignment="1">
      <alignment horizontal="right"/>
    </xf>
    <xf numFmtId="0" fontId="5" fillId="2" borderId="17" xfId="2" applyFont="1" applyFill="1" applyBorder="1" applyAlignment="1">
      <alignment horizontal="right"/>
    </xf>
    <xf numFmtId="0" fontId="5" fillId="2" borderId="18" xfId="2" applyFont="1" applyFill="1" applyBorder="1" applyAlignment="1">
      <alignment horizontal="right"/>
    </xf>
    <xf numFmtId="0" fontId="3" fillId="4" borderId="3" xfId="2" applyFont="1" applyFill="1" applyBorder="1" applyAlignment="1">
      <alignment horizontal="center"/>
    </xf>
    <xf numFmtId="0" fontId="3" fillId="4" borderId="7" xfId="2" applyFont="1" applyFill="1" applyBorder="1" applyAlignment="1">
      <alignment horizontal="center"/>
    </xf>
    <xf numFmtId="0" fontId="6" fillId="4" borderId="10" xfId="2" applyFont="1" applyFill="1" applyBorder="1" applyAlignment="1">
      <alignment horizontal="center" vertical="center"/>
    </xf>
    <xf numFmtId="0" fontId="6" fillId="4" borderId="11" xfId="2" applyFont="1" applyFill="1" applyBorder="1" applyAlignment="1">
      <alignment horizontal="center" vertical="center"/>
    </xf>
    <xf numFmtId="0" fontId="6" fillId="4" borderId="12" xfId="2" applyFont="1" applyFill="1" applyBorder="1" applyAlignment="1">
      <alignment horizontal="center" vertical="center"/>
    </xf>
    <xf numFmtId="0" fontId="6" fillId="4" borderId="8" xfId="2" applyFont="1" applyFill="1" applyBorder="1" applyAlignment="1">
      <alignment horizontal="center" vertical="center"/>
    </xf>
    <xf numFmtId="0" fontId="6" fillId="4" borderId="16" xfId="2" applyFont="1" applyFill="1" applyBorder="1" applyAlignment="1">
      <alignment horizontal="center" vertical="center"/>
    </xf>
    <xf numFmtId="0" fontId="6" fillId="4" borderId="21" xfId="2" applyFont="1" applyFill="1" applyBorder="1" applyAlignment="1">
      <alignment horizontal="center" vertical="center"/>
    </xf>
    <xf numFmtId="0" fontId="6" fillId="5" borderId="10" xfId="2" applyFont="1" applyFill="1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8" xfId="0" applyBorder="1" applyAlignment="1"/>
    <xf numFmtId="0" fontId="0" fillId="0" borderId="16" xfId="0" applyBorder="1" applyAlignment="1"/>
    <xf numFmtId="0" fontId="0" fillId="0" borderId="21" xfId="0" applyBorder="1" applyAlignment="1"/>
  </cellXfs>
  <cellStyles count="6">
    <cellStyle name="Normal" xfId="0" builtinId="0"/>
    <cellStyle name="Normal 2" xfId="2" xr:uid="{8095BE92-064A-4E70-BB39-EE03F8FFC801}"/>
    <cellStyle name="Normal 3" xfId="4" xr:uid="{181151B1-CA27-4EAF-B243-7F7C2FC9406C}"/>
    <cellStyle name="Normal 4" xfId="5" xr:uid="{08B2A7D5-4C42-43DB-A61B-ACF377129EFF}"/>
    <cellStyle name="Procent" xfId="1" builtinId="5"/>
    <cellStyle name="Procent 2" xfId="3" xr:uid="{C1D67AC2-77C7-40CA-B221-0083E462A2F0}"/>
  </cellStyles>
  <dxfs count="0"/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13" Type="http://schemas.openxmlformats.org/officeDocument/2006/relationships/customXml" Target="../customXml/item6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12" Type="http://schemas.openxmlformats.org/officeDocument/2006/relationships/customXml" Target="../customXml/item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11" Type="http://schemas.openxmlformats.org/officeDocument/2006/relationships/customXml" Target="../customXml/item4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madeleine.ehlin@regeringskansliet.se" id="{3ACF1590-AB17-44F5-B6D4-3ABE2C93D5AA}" userId="madeleine.ehlin@regeringskansliet.se" providerId="None"/>
  <person displayName="Madeleine Ehlin" id="{5CBD4648-9E63-434B-ACD2-F3189C44BAB3}" userId="S::madeleine.ehlin@regeringskansliet.se::a4feec7f-7d13-45ce-83df-4c874ececa38" providerId="AD"/>
</personList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7" dT="2021-11-04T12:15:28.13" personId="{3ACF1590-AB17-44F5-B6D4-3ABE2C93D5AA}" id="{B342BD65-7832-419E-B647-28D5A3CD7320}">
    <text>Central mynd. intern delg. 2014 (PLO)</text>
  </threadedComment>
  <threadedComment ref="B10" dT="2021-11-04T12:37:25.98" personId="{3ACF1590-AB17-44F5-B6D4-3ABE2C93D5AA}" id="{61FC3867-CB8F-4482-B196-DB29AC526E2F}">
    <text>Hedersrelaterat våld, kompetensteamet HRV (PLO)</text>
  </threadedComment>
  <threadedComment ref="B14" dT="2021-11-04T12:38:12.07" personId="{3ACF1590-AB17-44F5-B6D4-3ABE2C93D5AA}" id="{69406FF6-6E6D-4287-9C5F-2ABAEC765FC0}">
    <text>Totalförsvarsuppbyggnad Gotland (PLO)</text>
  </threadedComment>
  <threadedComment ref="B18" dT="2021-11-04T12:12:26.22" personId="{3ACF1590-AB17-44F5-B6D4-3ABE2C93D5AA}" id="{33DB3FF4-C86D-4845-AD1B-8AB89311CC36}">
    <text>GIS (PLO) + Miljösamverkan Sverige (ej PLO) + Information Sverige (PLO)</text>
  </threadedComment>
  <threadedComment ref="B20" dT="2021-11-04T12:14:15.34" personId="{3ACF1590-AB17-44F5-B6D4-3ABE2C93D5AA}" id="{A7E2805D-136C-4E15-BD75-61FA81B677BB}">
    <text>Kampsport 2010 (PLO) + Djufrågor BP18 (PLO) + SEVESO-verksamheten (PLO)</text>
  </threadedComment>
  <threadedComment ref="B24" dT="2021-11-04T12:14:51.03" personId="{3ACF1590-AB17-44F5-B6D4-3ABE2C93D5AA}" id="{93361EE0-AF32-4976-B862-9855EE446018}">
    <text>Samordning flyktingmott./etabl. (Ej PLO)</text>
  </threadedComment>
  <threadedComment ref="B27" dT="2022-11-29T09:35:30.22" personId="{5CBD4648-9E63-434B-ACD2-F3189C44BAB3}" id="{DE6DF0BA-386A-4F00-A768-6A6AC3CA9141}">
    <text>Adm. samhällsbyggnadsprojekt BP23 (2023-2030) (PLO)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823009-48C4-4E7C-AF85-DA70885CD8A9}">
  <dimension ref="A1:F50"/>
  <sheetViews>
    <sheetView zoomScale="88" zoomScaleNormal="88" workbookViewId="0">
      <selection activeCell="K18" sqref="K18"/>
    </sheetView>
  </sheetViews>
  <sheetFormatPr defaultColWidth="9.140625" defaultRowHeight="15"/>
  <cols>
    <col min="1" max="1" width="51.28515625" style="24" customWidth="1"/>
    <col min="2" max="2" width="13.7109375" style="24" customWidth="1"/>
    <col min="3" max="3" width="19.5703125" style="24" customWidth="1"/>
    <col min="4" max="4" width="24.140625" style="24" customWidth="1"/>
    <col min="5" max="5" width="7.85546875" style="24" customWidth="1"/>
    <col min="6" max="6" width="9.140625" style="24" customWidth="1"/>
    <col min="7" max="7" width="9.28515625" style="24" bestFit="1" customWidth="1"/>
    <col min="8" max="8" width="12" style="24" bestFit="1" customWidth="1"/>
    <col min="9" max="16384" width="9.140625" style="24"/>
  </cols>
  <sheetData>
    <row r="1" spans="1:6" ht="23.25">
      <c r="A1" s="22" t="s">
        <v>78</v>
      </c>
      <c r="B1" s="23"/>
      <c r="C1" s="23"/>
      <c r="D1" s="23"/>
      <c r="E1" s="23"/>
    </row>
    <row r="2" spans="1:6" ht="15.75" thickBot="1">
      <c r="A2" s="23"/>
      <c r="B2" s="23"/>
      <c r="C2" s="23"/>
      <c r="D2" s="23"/>
      <c r="E2" s="23"/>
    </row>
    <row r="3" spans="1:6" ht="15.75">
      <c r="A3" s="159" t="s">
        <v>79</v>
      </c>
      <c r="B3" s="160"/>
      <c r="C3" s="166">
        <f>3760438</f>
        <v>3760438</v>
      </c>
      <c r="D3" s="161" t="s">
        <v>70</v>
      </c>
      <c r="E3" s="130"/>
    </row>
    <row r="4" spans="1:6">
      <c r="A4" s="25" t="s">
        <v>0</v>
      </c>
      <c r="B4" s="141"/>
      <c r="C4" s="141"/>
      <c r="D4" s="27"/>
      <c r="E4" s="88"/>
    </row>
    <row r="5" spans="1:6">
      <c r="A5" s="176" t="s">
        <v>1</v>
      </c>
      <c r="B5" s="177"/>
      <c r="C5" s="163">
        <f>-'Riktade medel och parametrar'!R28</f>
        <v>-289280.3263914627</v>
      </c>
      <c r="D5" s="167"/>
      <c r="E5" s="89"/>
    </row>
    <row r="6" spans="1:6">
      <c r="A6" s="176" t="s">
        <v>2</v>
      </c>
      <c r="B6" s="177"/>
      <c r="C6" s="163">
        <v>-911070.17610000004</v>
      </c>
      <c r="D6" s="168" t="s">
        <v>81</v>
      </c>
      <c r="E6" s="169"/>
    </row>
    <row r="7" spans="1:6">
      <c r="A7" s="176" t="s">
        <v>76</v>
      </c>
      <c r="B7" s="177"/>
      <c r="C7" s="163">
        <v>-200</v>
      </c>
      <c r="D7" s="168" t="s">
        <v>94</v>
      </c>
      <c r="E7" s="97"/>
    </row>
    <row r="8" spans="1:6">
      <c r="A8" s="176" t="s">
        <v>3</v>
      </c>
      <c r="B8" s="177"/>
      <c r="C8" s="162">
        <v>-30000</v>
      </c>
      <c r="D8" s="168" t="s">
        <v>94</v>
      </c>
      <c r="E8" s="90"/>
    </row>
    <row r="9" spans="1:6" ht="15.75" customHeight="1">
      <c r="A9" s="176" t="s">
        <v>4</v>
      </c>
      <c r="B9" s="177"/>
      <c r="C9" s="163">
        <v>-1000</v>
      </c>
      <c r="D9" s="168" t="s">
        <v>94</v>
      </c>
      <c r="E9" s="90"/>
    </row>
    <row r="10" spans="1:6">
      <c r="A10" s="178" t="s">
        <v>102</v>
      </c>
      <c r="B10" s="179"/>
      <c r="C10" s="165">
        <v>-2600</v>
      </c>
      <c r="D10" s="168" t="s">
        <v>94</v>
      </c>
      <c r="E10" s="90"/>
    </row>
    <row r="11" spans="1:6">
      <c r="A11" s="178" t="s">
        <v>82</v>
      </c>
      <c r="B11" s="179"/>
      <c r="C11" s="165">
        <v>-400</v>
      </c>
      <c r="D11" s="168" t="s">
        <v>94</v>
      </c>
      <c r="E11" s="90"/>
      <c r="F11" s="152"/>
    </row>
    <row r="12" spans="1:6">
      <c r="A12" s="178" t="s">
        <v>89</v>
      </c>
      <c r="B12" s="179"/>
      <c r="C12" s="165">
        <v>-800</v>
      </c>
      <c r="D12" s="168" t="s">
        <v>94</v>
      </c>
      <c r="E12" s="90"/>
    </row>
    <row r="13" spans="1:6">
      <c r="A13" s="178" t="s">
        <v>90</v>
      </c>
      <c r="B13" s="179"/>
      <c r="C13" s="165">
        <v>-500</v>
      </c>
      <c r="D13" s="168" t="s">
        <v>94</v>
      </c>
      <c r="E13" s="90"/>
    </row>
    <row r="14" spans="1:6">
      <c r="A14" s="178" t="s">
        <v>92</v>
      </c>
      <c r="B14" s="179"/>
      <c r="C14" s="165">
        <v>-400</v>
      </c>
      <c r="D14" s="168" t="s">
        <v>94</v>
      </c>
      <c r="E14" s="90"/>
    </row>
    <row r="15" spans="1:6">
      <c r="A15" s="178" t="s">
        <v>86</v>
      </c>
      <c r="B15" s="179"/>
      <c r="C15" s="164">
        <v>-11000</v>
      </c>
      <c r="D15" s="168" t="s">
        <v>95</v>
      </c>
      <c r="E15" s="90"/>
    </row>
    <row r="16" spans="1:6">
      <c r="A16" s="178" t="s">
        <v>97</v>
      </c>
      <c r="B16" s="179"/>
      <c r="C16" s="165">
        <v>-2500</v>
      </c>
      <c r="D16" s="168" t="s">
        <v>95</v>
      </c>
      <c r="E16" s="90"/>
    </row>
    <row r="17" spans="1:5">
      <c r="A17" s="178" t="s">
        <v>98</v>
      </c>
      <c r="B17" s="179"/>
      <c r="C17" s="165">
        <v>-15000</v>
      </c>
      <c r="D17" s="168" t="s">
        <v>95</v>
      </c>
      <c r="E17" s="90"/>
    </row>
    <row r="18" spans="1:5">
      <c r="A18" s="178" t="s">
        <v>84</v>
      </c>
      <c r="B18" s="179"/>
      <c r="C18" s="165">
        <v>-1000</v>
      </c>
      <c r="D18" s="168" t="s">
        <v>96</v>
      </c>
      <c r="E18" s="90"/>
    </row>
    <row r="19" spans="1:5">
      <c r="A19" s="178" t="s">
        <v>85</v>
      </c>
      <c r="B19" s="179"/>
      <c r="C19" s="165">
        <v>-1000</v>
      </c>
      <c r="D19" s="168" t="s">
        <v>96</v>
      </c>
      <c r="E19" s="90"/>
    </row>
    <row r="20" spans="1:5">
      <c r="A20" s="178" t="s">
        <v>88</v>
      </c>
      <c r="B20" s="179"/>
      <c r="C20" s="165">
        <v>-60000</v>
      </c>
      <c r="D20" s="168" t="s">
        <v>96</v>
      </c>
      <c r="E20" s="90"/>
    </row>
    <row r="21" spans="1:5">
      <c r="A21" s="178" t="s">
        <v>87</v>
      </c>
      <c r="B21" s="179"/>
      <c r="C21" s="164">
        <v>-7000</v>
      </c>
      <c r="D21" s="168" t="s">
        <v>95</v>
      </c>
      <c r="E21" s="90"/>
    </row>
    <row r="22" spans="1:5">
      <c r="A22" s="178" t="s">
        <v>99</v>
      </c>
      <c r="B22" s="179"/>
      <c r="C22" s="165">
        <v>-3000</v>
      </c>
      <c r="D22" s="168" t="s">
        <v>95</v>
      </c>
      <c r="E22" s="90"/>
    </row>
    <row r="23" spans="1:5" ht="15.75" thickBot="1">
      <c r="A23" s="180" t="s">
        <v>5</v>
      </c>
      <c r="B23" s="181"/>
      <c r="C23" s="151">
        <f>SUM(C3:C22)</f>
        <v>2423687.497508537</v>
      </c>
      <c r="D23" s="28"/>
      <c r="E23" s="90"/>
    </row>
    <row r="24" spans="1:5">
      <c r="A24" s="40" t="s">
        <v>6</v>
      </c>
      <c r="B24" s="29"/>
      <c r="C24" s="29"/>
      <c r="D24" s="29"/>
      <c r="E24" s="91"/>
    </row>
    <row r="25" spans="1:5">
      <c r="A25" s="41"/>
      <c r="B25" s="2"/>
      <c r="C25" s="2"/>
      <c r="D25" s="2"/>
      <c r="E25" s="86"/>
    </row>
    <row r="26" spans="1:5">
      <c r="A26" s="23"/>
      <c r="B26" s="2"/>
      <c r="C26" s="26"/>
      <c r="D26" s="30"/>
      <c r="E26" s="26"/>
    </row>
    <row r="27" spans="1:5" ht="24" thickBot="1">
      <c r="A27" s="22" t="s">
        <v>5</v>
      </c>
      <c r="B27" s="31"/>
      <c r="C27" s="32"/>
      <c r="E27" s="30"/>
    </row>
    <row r="28" spans="1:5">
      <c r="A28" s="112" t="s">
        <v>7</v>
      </c>
      <c r="B28" s="113" t="s">
        <v>8</v>
      </c>
      <c r="C28" s="114" t="s">
        <v>9</v>
      </c>
    </row>
    <row r="29" spans="1:5">
      <c r="A29" s="25" t="s">
        <v>10</v>
      </c>
      <c r="B29" s="115">
        <f>SUM(B30:B34)</f>
        <v>0.99999999999999989</v>
      </c>
      <c r="C29" s="33">
        <f>SUM(C30:C34)</f>
        <v>2423687.497508537</v>
      </c>
    </row>
    <row r="30" spans="1:5">
      <c r="A30" s="34" t="s">
        <v>11</v>
      </c>
      <c r="B30" s="116">
        <v>0.57499999999999996</v>
      </c>
      <c r="C30" s="35">
        <f>B30*$C$23</f>
        <v>1393620.3110674086</v>
      </c>
      <c r="E30" s="17"/>
    </row>
    <row r="31" spans="1:5">
      <c r="A31" s="34" t="s">
        <v>12</v>
      </c>
      <c r="B31" s="116">
        <v>0.1</v>
      </c>
      <c r="C31" s="35">
        <f>B31*$C$23</f>
        <v>242368.74975085372</v>
      </c>
      <c r="E31" s="17"/>
    </row>
    <row r="32" spans="1:5">
      <c r="A32" s="34" t="s">
        <v>13</v>
      </c>
      <c r="B32" s="117">
        <v>0.08</v>
      </c>
      <c r="C32" s="35">
        <f>B32*$C$23</f>
        <v>193894.99980068297</v>
      </c>
      <c r="E32" s="17"/>
    </row>
    <row r="33" spans="1:6">
      <c r="A33" s="34" t="s">
        <v>14</v>
      </c>
      <c r="B33" s="116">
        <v>0.13</v>
      </c>
      <c r="C33" s="35">
        <f>B33*$C$23</f>
        <v>315079.37467610982</v>
      </c>
      <c r="E33" s="17"/>
    </row>
    <row r="34" spans="1:6" ht="15.75" thickBot="1">
      <c r="A34" s="36" t="s">
        <v>15</v>
      </c>
      <c r="B34" s="37">
        <v>0.115</v>
      </c>
      <c r="C34" s="38">
        <f>B34*$C$23</f>
        <v>278724.06221348175</v>
      </c>
      <c r="E34" s="17"/>
    </row>
    <row r="35" spans="1:6">
      <c r="A35" s="41" t="s">
        <v>6</v>
      </c>
      <c r="B35" s="39"/>
      <c r="C35" s="39"/>
      <c r="E35" s="17"/>
    </row>
    <row r="36" spans="1:6">
      <c r="E36" s="17"/>
    </row>
    <row r="37" spans="1:6">
      <c r="E37" s="17"/>
    </row>
    <row r="38" spans="1:6">
      <c r="E38" s="17"/>
    </row>
    <row r="39" spans="1:6">
      <c r="E39" s="17"/>
    </row>
    <row r="40" spans="1:6">
      <c r="E40" s="17"/>
      <c r="F40" s="87"/>
    </row>
    <row r="41" spans="1:6">
      <c r="E41" s="17"/>
    </row>
    <row r="42" spans="1:6">
      <c r="E42" s="17"/>
      <c r="F42" s="87"/>
    </row>
    <row r="43" spans="1:6">
      <c r="E43" s="17"/>
    </row>
    <row r="44" spans="1:6">
      <c r="E44" s="17"/>
    </row>
    <row r="45" spans="1:6">
      <c r="E45" s="17"/>
    </row>
    <row r="46" spans="1:6">
      <c r="D46" s="103"/>
      <c r="E46" s="17"/>
    </row>
    <row r="47" spans="1:6">
      <c r="D47" s="103"/>
      <c r="E47" s="17"/>
    </row>
    <row r="48" spans="1:6">
      <c r="D48" s="103"/>
      <c r="E48" s="17"/>
    </row>
    <row r="49" spans="4:5">
      <c r="D49" s="103"/>
      <c r="E49" s="17"/>
    </row>
    <row r="50" spans="4:5">
      <c r="D50" s="111"/>
      <c r="E50" s="17"/>
    </row>
  </sheetData>
  <mergeCells count="19">
    <mergeCell ref="A23:B23"/>
    <mergeCell ref="A17:B17"/>
    <mergeCell ref="A15:B15"/>
    <mergeCell ref="A11:B11"/>
    <mergeCell ref="A12:B12"/>
    <mergeCell ref="A16:B16"/>
    <mergeCell ref="A22:B22"/>
    <mergeCell ref="A19:B19"/>
    <mergeCell ref="A18:B18"/>
    <mergeCell ref="A21:B21"/>
    <mergeCell ref="A20:B20"/>
    <mergeCell ref="A13:B13"/>
    <mergeCell ref="A14:B14"/>
    <mergeCell ref="A9:B9"/>
    <mergeCell ref="A10:B10"/>
    <mergeCell ref="A5:B5"/>
    <mergeCell ref="A6:B6"/>
    <mergeCell ref="A8:B8"/>
    <mergeCell ref="A7:B7"/>
  </mergeCells>
  <phoneticPr fontId="28" type="noConversion"/>
  <pageMargins left="0.70866141732283472" right="0.70866141732283472" top="0.74803149606299213" bottom="0.74803149606299213" header="0.31496062992125984" footer="0.31496062992125984"/>
  <pageSetup paperSize="9" scale="89" orientation="landscape" r:id="rId1"/>
  <headerFooter>
    <oddHeader>&amp;LBilaga 3 till regleringsbrev för budgetåret 2023 avseende länsstyrelserna</oddHeader>
    <oddFooter>&amp;RSida &amp;P av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3C9809-E339-4E6B-9116-D1ADE0B8E089}">
  <dimension ref="A1:AU69"/>
  <sheetViews>
    <sheetView showGridLines="0" tabSelected="1" topLeftCell="AJ1" zoomScaleNormal="100" zoomScaleSheetLayoutView="73" zoomScalePageLayoutView="90" workbookViewId="0">
      <selection activeCell="AT8" sqref="AT8"/>
    </sheetView>
  </sheetViews>
  <sheetFormatPr defaultColWidth="9.140625" defaultRowHeight="12.75"/>
  <cols>
    <col min="1" max="1" width="15.7109375" style="21" customWidth="1"/>
    <col min="2" max="2" width="13.5703125" style="21" customWidth="1"/>
    <col min="3" max="3" width="7.140625" style="8" customWidth="1"/>
    <col min="4" max="4" width="7.140625" style="21" customWidth="1"/>
    <col min="5" max="5" width="9.5703125" style="21" customWidth="1"/>
    <col min="6" max="6" width="9.5703125" style="1" customWidth="1"/>
    <col min="7" max="7" width="11" style="23" customWidth="1"/>
    <col min="8" max="12" width="9.5703125" style="23" customWidth="1"/>
    <col min="13" max="16" width="10.42578125" style="23" customWidth="1"/>
    <col min="17" max="17" width="11.5703125" style="23" customWidth="1"/>
    <col min="18" max="18" width="13.42578125" style="23" customWidth="1"/>
    <col min="19" max="19" width="1.42578125" style="23" customWidth="1"/>
    <col min="20" max="22" width="9.5703125" style="23" customWidth="1"/>
    <col min="23" max="23" width="10.7109375" style="23" customWidth="1"/>
    <col min="24" max="24" width="1.42578125" style="8" customWidth="1"/>
    <col min="25" max="25" width="15.7109375" style="8" customWidth="1"/>
    <col min="26" max="26" width="9.85546875" style="8" customWidth="1"/>
    <col min="27" max="27" width="10.42578125" style="8" customWidth="1"/>
    <col min="28" max="28" width="9.5703125" style="8" customWidth="1"/>
    <col min="29" max="29" width="9.140625" style="8" customWidth="1"/>
    <col min="30" max="30" width="12" style="8" customWidth="1"/>
    <col min="31" max="31" width="9.7109375" style="8" customWidth="1"/>
    <col min="32" max="32" width="8.5703125" style="8" customWidth="1"/>
    <col min="33" max="33" width="8.7109375" style="8" customWidth="1"/>
    <col min="34" max="34" width="9.28515625" style="8" customWidth="1"/>
    <col min="35" max="35" width="11.140625" style="8" customWidth="1"/>
    <col min="36" max="36" width="11.5703125" style="8" customWidth="1"/>
    <col min="37" max="37" width="2" style="8" customWidth="1"/>
    <col min="38" max="38" width="12.5703125" style="8" customWidth="1"/>
    <col min="39" max="40" width="12.85546875" style="8" customWidth="1"/>
    <col min="41" max="41" width="8.5703125" style="8" customWidth="1"/>
    <col min="42" max="42" width="12.28515625" style="8" customWidth="1"/>
    <col min="43" max="43" width="11" style="8" customWidth="1"/>
    <col min="44" max="44" width="12.42578125" style="8" customWidth="1"/>
    <col min="45" max="45" width="9.85546875" style="8" customWidth="1"/>
    <col min="46" max="46" width="9.28515625" style="8" customWidth="1"/>
    <col min="47" max="16384" width="9.140625" style="8"/>
  </cols>
  <sheetData>
    <row r="1" spans="1:47" ht="23.25">
      <c r="A1" s="22" t="s">
        <v>100</v>
      </c>
      <c r="B1" s="22"/>
      <c r="C1" s="5"/>
      <c r="D1" s="42"/>
      <c r="E1" s="42"/>
      <c r="G1" s="10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22" t="s">
        <v>101</v>
      </c>
      <c r="U1" s="108"/>
      <c r="V1" s="108"/>
      <c r="W1" s="108"/>
      <c r="X1" s="21"/>
      <c r="Z1" s="43"/>
      <c r="AA1" s="21"/>
      <c r="AG1" s="5"/>
      <c r="AH1" s="17"/>
      <c r="AI1" s="17"/>
      <c r="AJ1" s="44"/>
      <c r="AK1" s="5"/>
      <c r="AL1" s="22" t="s">
        <v>16</v>
      </c>
      <c r="AM1" s="17"/>
      <c r="AN1" s="17"/>
      <c r="AO1" s="21"/>
      <c r="AP1" s="21"/>
    </row>
    <row r="2" spans="1:47">
      <c r="C2" s="5"/>
      <c r="G2" s="2"/>
      <c r="H2" s="2"/>
      <c r="I2" s="2"/>
      <c r="J2" s="2"/>
      <c r="K2" s="2"/>
      <c r="L2" s="2"/>
      <c r="M2" s="83"/>
      <c r="N2" s="101"/>
      <c r="O2" s="102"/>
      <c r="P2" s="144"/>
      <c r="Q2" s="144"/>
      <c r="R2" s="2"/>
      <c r="S2" s="102"/>
      <c r="T2" s="102"/>
      <c r="U2" s="102"/>
      <c r="V2" s="102"/>
      <c r="W2" s="128"/>
      <c r="X2" s="21"/>
      <c r="Y2" s="21"/>
      <c r="Z2" s="43"/>
      <c r="AA2" s="21"/>
      <c r="AG2" s="5"/>
      <c r="AH2" s="17"/>
      <c r="AI2" s="17"/>
      <c r="AJ2" s="44"/>
      <c r="AK2" s="5"/>
      <c r="AL2" s="5"/>
      <c r="AM2" s="17"/>
      <c r="AN2" s="17"/>
      <c r="AO2" s="21"/>
      <c r="AP2" s="21"/>
    </row>
    <row r="3" spans="1:47" ht="15.75">
      <c r="A3" s="182"/>
      <c r="B3" s="184" t="s">
        <v>17</v>
      </c>
      <c r="C3" s="185"/>
      <c r="D3" s="185"/>
      <c r="E3" s="185"/>
      <c r="F3" s="185"/>
      <c r="G3" s="185"/>
      <c r="H3" s="185"/>
      <c r="I3" s="185"/>
      <c r="J3" s="185"/>
      <c r="K3" s="185"/>
      <c r="L3" s="185"/>
      <c r="M3" s="185"/>
      <c r="N3" s="185"/>
      <c r="O3" s="185"/>
      <c r="P3" s="185"/>
      <c r="Q3" s="185"/>
      <c r="R3" s="186"/>
      <c r="T3" s="184" t="s">
        <v>74</v>
      </c>
      <c r="U3" s="185"/>
      <c r="V3" s="185"/>
      <c r="W3" s="186"/>
      <c r="X3" s="21"/>
      <c r="Y3" s="184" t="s">
        <v>18</v>
      </c>
      <c r="Z3" s="185"/>
      <c r="AA3" s="185"/>
      <c r="AB3" s="185"/>
      <c r="AC3" s="185"/>
      <c r="AD3" s="186"/>
      <c r="AE3" s="184" t="s">
        <v>19</v>
      </c>
      <c r="AF3" s="185"/>
      <c r="AG3" s="185"/>
      <c r="AH3" s="185"/>
      <c r="AI3" s="185"/>
      <c r="AJ3" s="186"/>
      <c r="AL3" s="190" t="s">
        <v>20</v>
      </c>
      <c r="AM3" s="191"/>
      <c r="AN3" s="191"/>
      <c r="AO3" s="191"/>
      <c r="AP3" s="191"/>
      <c r="AQ3" s="192"/>
      <c r="AR3" s="84"/>
      <c r="AS3" s="170"/>
    </row>
    <row r="4" spans="1:47" ht="12.75" customHeight="1">
      <c r="A4" s="183"/>
      <c r="B4" s="187"/>
      <c r="C4" s="188"/>
      <c r="D4" s="188"/>
      <c r="E4" s="188"/>
      <c r="F4" s="188"/>
      <c r="G4" s="188"/>
      <c r="H4" s="188"/>
      <c r="I4" s="188"/>
      <c r="J4" s="188"/>
      <c r="K4" s="188"/>
      <c r="L4" s="188"/>
      <c r="M4" s="188"/>
      <c r="N4" s="188"/>
      <c r="O4" s="188"/>
      <c r="P4" s="188"/>
      <c r="Q4" s="188"/>
      <c r="R4" s="189"/>
      <c r="T4" s="187"/>
      <c r="U4" s="188"/>
      <c r="V4" s="188"/>
      <c r="W4" s="189"/>
      <c r="X4" s="21"/>
      <c r="Y4" s="187"/>
      <c r="Z4" s="188"/>
      <c r="AA4" s="188"/>
      <c r="AB4" s="188"/>
      <c r="AC4" s="188"/>
      <c r="AD4" s="189"/>
      <c r="AE4" s="187"/>
      <c r="AF4" s="188"/>
      <c r="AG4" s="188"/>
      <c r="AH4" s="188"/>
      <c r="AI4" s="188"/>
      <c r="AJ4" s="189"/>
      <c r="AL4" s="193"/>
      <c r="AM4" s="194"/>
      <c r="AN4" s="194"/>
      <c r="AO4" s="194"/>
      <c r="AP4" s="194"/>
      <c r="AQ4" s="195"/>
      <c r="AR4" s="85"/>
      <c r="AS4" s="171"/>
    </row>
    <row r="5" spans="1:47" ht="58.5" customHeight="1">
      <c r="A5" s="45"/>
      <c r="B5" s="104" t="s">
        <v>73</v>
      </c>
      <c r="C5" s="109" t="s">
        <v>39</v>
      </c>
      <c r="D5" s="46" t="s">
        <v>21</v>
      </c>
      <c r="E5" s="46" t="s">
        <v>22</v>
      </c>
      <c r="F5" s="46" t="s">
        <v>23</v>
      </c>
      <c r="G5" s="46" t="s">
        <v>24</v>
      </c>
      <c r="H5" s="46" t="s">
        <v>25</v>
      </c>
      <c r="I5" s="46" t="s">
        <v>26</v>
      </c>
      <c r="J5" s="46" t="s">
        <v>27</v>
      </c>
      <c r="K5" s="46" t="s">
        <v>28</v>
      </c>
      <c r="L5" s="46" t="s">
        <v>29</v>
      </c>
      <c r="M5" s="46" t="s">
        <v>71</v>
      </c>
      <c r="N5" s="94" t="s">
        <v>72</v>
      </c>
      <c r="O5" s="46" t="s">
        <v>75</v>
      </c>
      <c r="P5" s="94" t="s">
        <v>83</v>
      </c>
      <c r="Q5" s="46" t="s">
        <v>91</v>
      </c>
      <c r="R5" s="47" t="s">
        <v>30</v>
      </c>
      <c r="S5" s="104"/>
      <c r="T5" s="131" t="s">
        <v>41</v>
      </c>
      <c r="U5" s="132" t="s">
        <v>42</v>
      </c>
      <c r="V5" s="132" t="s">
        <v>43</v>
      </c>
      <c r="W5" s="133" t="s">
        <v>30</v>
      </c>
      <c r="X5" s="21"/>
      <c r="Y5" s="53"/>
      <c r="Z5" s="46" t="s">
        <v>31</v>
      </c>
      <c r="AA5" s="46" t="s">
        <v>32</v>
      </c>
      <c r="AB5" s="46" t="s">
        <v>33</v>
      </c>
      <c r="AC5" s="46" t="s">
        <v>34</v>
      </c>
      <c r="AD5" s="47" t="s">
        <v>35</v>
      </c>
      <c r="AE5" s="48" t="s">
        <v>31</v>
      </c>
      <c r="AF5" s="46" t="s">
        <v>32</v>
      </c>
      <c r="AG5" s="46" t="s">
        <v>36</v>
      </c>
      <c r="AH5" s="46" t="s">
        <v>37</v>
      </c>
      <c r="AI5" s="46" t="s">
        <v>35</v>
      </c>
      <c r="AJ5" s="47" t="s">
        <v>38</v>
      </c>
      <c r="AK5" s="49"/>
      <c r="AL5" s="77"/>
      <c r="AM5" s="78" t="s">
        <v>1</v>
      </c>
      <c r="AN5" s="132" t="s">
        <v>77</v>
      </c>
      <c r="AO5" s="146" t="s">
        <v>2</v>
      </c>
      <c r="AP5" s="146" t="s">
        <v>40</v>
      </c>
      <c r="AQ5" s="146" t="s">
        <v>44</v>
      </c>
      <c r="AR5" s="147" t="s">
        <v>45</v>
      </c>
      <c r="AS5" s="172" t="s">
        <v>93</v>
      </c>
    </row>
    <row r="6" spans="1:47" ht="11.25">
      <c r="A6" s="50" t="s">
        <v>46</v>
      </c>
      <c r="B6" s="155" t="s">
        <v>80</v>
      </c>
      <c r="C6" s="80"/>
      <c r="D6" s="110" t="s">
        <v>47</v>
      </c>
      <c r="E6" s="110" t="s">
        <v>47</v>
      </c>
      <c r="F6" s="110" t="s">
        <v>47</v>
      </c>
      <c r="G6" s="110" t="s">
        <v>47</v>
      </c>
      <c r="H6" s="110" t="s">
        <v>47</v>
      </c>
      <c r="I6" s="110" t="s">
        <v>47</v>
      </c>
      <c r="J6" s="110" t="s">
        <v>47</v>
      </c>
      <c r="K6" s="110" t="s">
        <v>47</v>
      </c>
      <c r="L6" s="110" t="s">
        <v>47</v>
      </c>
      <c r="M6" s="110" t="s">
        <v>47</v>
      </c>
      <c r="N6" s="110"/>
      <c r="O6" s="51"/>
      <c r="P6" s="110" t="s">
        <v>47</v>
      </c>
      <c r="Q6" s="51"/>
      <c r="R6" s="52"/>
      <c r="S6" s="105"/>
      <c r="T6" s="156" t="s">
        <v>47</v>
      </c>
      <c r="U6" s="157" t="s">
        <v>47</v>
      </c>
      <c r="V6" s="157" t="s">
        <v>47</v>
      </c>
      <c r="W6" s="134"/>
      <c r="X6" s="127"/>
      <c r="Y6" s="59"/>
      <c r="Z6" s="54"/>
      <c r="AA6" s="55"/>
      <c r="AB6" s="56"/>
      <c r="AC6" s="56"/>
      <c r="AD6" s="57"/>
      <c r="AE6" s="58"/>
      <c r="AF6" s="55"/>
      <c r="AG6" s="55"/>
      <c r="AH6" s="55"/>
      <c r="AI6" s="55"/>
      <c r="AJ6" s="59"/>
      <c r="AL6" s="79"/>
      <c r="AM6" s="80"/>
      <c r="AN6" s="139"/>
      <c r="AO6" s="158" t="s">
        <v>47</v>
      </c>
      <c r="AP6" s="148"/>
      <c r="AQ6" s="148"/>
      <c r="AR6" s="149"/>
      <c r="AS6" s="173"/>
    </row>
    <row r="7" spans="1:47" ht="15" customHeight="1">
      <c r="A7" s="45" t="s">
        <v>48</v>
      </c>
      <c r="B7" s="17">
        <f>1917.00955859286*1.0099</f>
        <v>1935.9879532229293</v>
      </c>
      <c r="C7" s="4"/>
      <c r="D7" s="17"/>
      <c r="E7" s="17"/>
      <c r="F7" s="17"/>
      <c r="G7" s="17">
        <f>6766.9714252*1.0099</f>
        <v>6833.9644423094805</v>
      </c>
      <c r="H7" s="17"/>
      <c r="I7" s="17">
        <f>973.371752249659*1.0099</f>
        <v>983.00813259693064</v>
      </c>
      <c r="J7" s="17"/>
      <c r="K7" s="17">
        <f>2546.95329684422*1.0099</f>
        <v>2572.1681344829776</v>
      </c>
      <c r="L7" s="17">
        <f>4480.8324302*1.0099</f>
        <v>4525.1926712589802</v>
      </c>
      <c r="M7" s="17">
        <f>5054*1.0099</f>
        <v>5104.0346</v>
      </c>
      <c r="N7" s="17">
        <v>-5114.5822239268009</v>
      </c>
      <c r="O7" s="17">
        <v>500</v>
      </c>
      <c r="P7" s="140">
        <v>20700</v>
      </c>
      <c r="Q7" s="17"/>
      <c r="R7" s="60">
        <f t="shared" ref="R7:R28" si="0">SUM(B7:Q7)</f>
        <v>38039.773709944493</v>
      </c>
      <c r="S7" s="106"/>
      <c r="T7" s="153">
        <f>1010.45258090679*1.0099</f>
        <v>1020.4560614577672</v>
      </c>
      <c r="U7" s="154">
        <f>1911.41663746046*1.0099</f>
        <v>1930.3396621713184</v>
      </c>
      <c r="V7" s="154">
        <f>2316.39301517508*1.0099</f>
        <v>2339.3253060253132</v>
      </c>
      <c r="W7" s="135">
        <f>SUM(T7:V7)</f>
        <v>5290.1210296543995</v>
      </c>
      <c r="X7" s="126"/>
      <c r="Y7" s="61" t="s">
        <v>48</v>
      </c>
      <c r="Z7" s="119">
        <v>0.23106234918428684</v>
      </c>
      <c r="AA7" s="120">
        <v>1.5966471259658884E-2</v>
      </c>
      <c r="AB7" s="119">
        <v>6.6210045662100453E-2</v>
      </c>
      <c r="AC7" s="119">
        <v>5.9701333150044444E-2</v>
      </c>
      <c r="AD7" s="121">
        <v>3.2739015424782712E-2</v>
      </c>
      <c r="AE7" s="62">
        <f>SUM(Z7*'Översikt fördelning'!$C$30)</f>
        <v>322013.18294617202</v>
      </c>
      <c r="AF7" s="63">
        <f>SUM(AA7*'Översikt fördelning'!$C$31)</f>
        <v>3869.7736771364621</v>
      </c>
      <c r="AG7" s="63">
        <f>SUM(AB7*'Översikt fördelning'!$C$32)</f>
        <v>12837.796790456177</v>
      </c>
      <c r="AH7" s="63">
        <f>SUM(AC7*'Översikt fördelning'!$C$33)</f>
        <v>18810.658716246107</v>
      </c>
      <c r="AI7" s="63">
        <f>SUM(AD7*'Översikt fördelning'!$C$34)</f>
        <v>9125.1513720652747</v>
      </c>
      <c r="AJ7" s="64">
        <f t="shared" ref="AJ7:AJ27" si="1">SUM(AE7:AI7)</f>
        <v>366656.56350207608</v>
      </c>
      <c r="AL7" s="3" t="s">
        <v>48</v>
      </c>
      <c r="AM7" s="4">
        <f t="shared" ref="AM7:AM27" si="2">SUM(R7)</f>
        <v>38039.773709944493</v>
      </c>
      <c r="AN7" s="140">
        <f>SUM(W7)</f>
        <v>5290.1210296543995</v>
      </c>
      <c r="AO7" s="140">
        <f>42959*1.0099</f>
        <v>43384.294099999999</v>
      </c>
      <c r="AP7" s="17">
        <v>800</v>
      </c>
      <c r="AQ7" s="17">
        <f t="shared" ref="AQ7:AQ27" si="3">AJ7</f>
        <v>366656.56350207608</v>
      </c>
      <c r="AR7" s="150">
        <f t="shared" ref="AR7:AR27" si="4">SUM(AM7:AQ7)</f>
        <v>454170.75234167499</v>
      </c>
      <c r="AS7" s="174">
        <f>AQ7/$AQ$28</f>
        <v>0.15128046164325459</v>
      </c>
      <c r="AT7" s="5"/>
      <c r="AU7" s="125"/>
    </row>
    <row r="8" spans="1:47" ht="11.25">
      <c r="A8" s="45" t="s">
        <v>49</v>
      </c>
      <c r="B8" s="103"/>
      <c r="C8" s="4"/>
      <c r="D8" s="17"/>
      <c r="E8" s="17">
        <f>987.987080395724*1.0099</f>
        <v>997.76815249164167</v>
      </c>
      <c r="F8" s="17"/>
      <c r="G8" s="17"/>
      <c r="H8" s="17"/>
      <c r="I8" s="17">
        <f t="shared" ref="I8:I10" si="5">973.371752249659*1.0099</f>
        <v>983.00813259693064</v>
      </c>
      <c r="J8" s="17"/>
      <c r="K8" s="17">
        <f>1697.96886456281*1.0099</f>
        <v>1714.778756321982</v>
      </c>
      <c r="L8" s="17"/>
      <c r="M8" s="17"/>
      <c r="N8" s="17">
        <v>-2187.4137313660426</v>
      </c>
      <c r="O8" s="17"/>
      <c r="P8" s="140"/>
      <c r="Q8" s="17">
        <v>1000</v>
      </c>
      <c r="R8" s="60">
        <f t="shared" si="0"/>
        <v>2508.141310044512</v>
      </c>
      <c r="S8" s="106"/>
      <c r="T8" s="153">
        <f>3603.79303511481*1.0099</f>
        <v>3639.470586162447</v>
      </c>
      <c r="U8" s="154">
        <f>-460.112049487696*1.0099</f>
        <v>-464.66715877762425</v>
      </c>
      <c r="V8" s="154">
        <f>-521.449152990889*1.0099</f>
        <v>-526.61149960549881</v>
      </c>
      <c r="W8" s="136">
        <f t="shared" ref="W8:W28" si="6">SUM(T8:V8)</f>
        <v>2648.191927779324</v>
      </c>
      <c r="X8" s="21"/>
      <c r="Y8" s="45" t="s">
        <v>49</v>
      </c>
      <c r="Z8" s="122">
        <v>3.77931189670127E-2</v>
      </c>
      <c r="AA8" s="123">
        <v>1.924085170903465E-2</v>
      </c>
      <c r="AB8" s="122">
        <v>2.7397260273972601E-2</v>
      </c>
      <c r="AC8" s="122">
        <v>2.2918538610953096E-2</v>
      </c>
      <c r="AD8" s="124">
        <v>4.4556666323130302E-2</v>
      </c>
      <c r="AE8" s="65">
        <f>SUM(Z8*'Översikt fördelning'!$C$30)</f>
        <v>52669.258211015818</v>
      </c>
      <c r="AF8" s="5">
        <f>SUM(AA8*'Översikt fördelning'!$C$31)</f>
        <v>4663.381172860305</v>
      </c>
      <c r="AG8" s="5">
        <f>SUM(AB8*'Översikt fördelning'!$C$32)</f>
        <v>5312.191775361177</v>
      </c>
      <c r="AH8" s="5">
        <f>SUM(AC8*'Översikt fördelning'!$C$33)</f>
        <v>7221.1588140293798</v>
      </c>
      <c r="AI8" s="5">
        <f>SUM(AD8*'Översikt fördelning'!$C$34)</f>
        <v>12419.015036273517</v>
      </c>
      <c r="AJ8" s="66">
        <f t="shared" si="1"/>
        <v>82285.005009540197</v>
      </c>
      <c r="AL8" s="3" t="s">
        <v>49</v>
      </c>
      <c r="AM8" s="4">
        <f>SUM(R8)</f>
        <v>2508.141310044512</v>
      </c>
      <c r="AN8" s="140">
        <f t="shared" ref="AN8:AN27" si="7">SUM(W8)</f>
        <v>2648.191927779324</v>
      </c>
      <c r="AO8" s="140">
        <f t="shared" ref="AO8:AO27" si="8">42959*1.0099</f>
        <v>43384.294099999999</v>
      </c>
      <c r="AP8" s="17">
        <v>1000</v>
      </c>
      <c r="AQ8" s="17">
        <f t="shared" si="3"/>
        <v>82285.005009540197</v>
      </c>
      <c r="AR8" s="150">
        <f t="shared" si="4"/>
        <v>131825.63234736404</v>
      </c>
      <c r="AS8" s="174">
        <f t="shared" ref="AS8:AS28" si="9">AQ8/$AQ$28</f>
        <v>3.3950336045437443E-2</v>
      </c>
      <c r="AT8" s="5"/>
      <c r="AU8" s="125"/>
    </row>
    <row r="9" spans="1:47" ht="11.25">
      <c r="A9" s="45" t="s">
        <v>50</v>
      </c>
      <c r="B9" s="103"/>
      <c r="C9" s="4"/>
      <c r="D9" s="17"/>
      <c r="E9" s="17"/>
      <c r="F9" s="17"/>
      <c r="G9" s="17"/>
      <c r="H9" s="17"/>
      <c r="I9" s="17">
        <f t="shared" si="5"/>
        <v>983.00813259693064</v>
      </c>
      <c r="J9" s="17"/>
      <c r="K9" s="17">
        <f t="shared" ref="K9:K27" si="10">1697.96886456281*1.0099</f>
        <v>1714.778756321982</v>
      </c>
      <c r="L9" s="17"/>
      <c r="M9" s="17"/>
      <c r="N9" s="17">
        <v>-3794.3254626278981</v>
      </c>
      <c r="O9" s="17"/>
      <c r="P9" s="140"/>
      <c r="Q9" s="17"/>
      <c r="R9" s="60">
        <f t="shared" si="0"/>
        <v>-1096.5385737089855</v>
      </c>
      <c r="S9" s="106"/>
      <c r="T9" s="153">
        <f>-2157.64071748674*1.0099</f>
        <v>-2179.0013605898589</v>
      </c>
      <c r="U9" s="154">
        <f>-325.272014419322*1.0099</f>
        <v>-328.49220736207326</v>
      </c>
      <c r="V9" s="154">
        <f>-944.402354861277*1.0099</f>
        <v>-953.75193817440368</v>
      </c>
      <c r="W9" s="136">
        <f t="shared" si="6"/>
        <v>-3461.2455061263358</v>
      </c>
      <c r="X9" s="21"/>
      <c r="Y9" s="45" t="s">
        <v>50</v>
      </c>
      <c r="Z9" s="122">
        <v>2.8874051574740399E-2</v>
      </c>
      <c r="AA9" s="123">
        <v>1.5698783997589765E-2</v>
      </c>
      <c r="AB9" s="122">
        <v>2.7397260273972601E-2</v>
      </c>
      <c r="AC9" s="122">
        <v>2.7066590678711144E-2</v>
      </c>
      <c r="AD9" s="124">
        <v>3.3357380878766017E-2</v>
      </c>
      <c r="AE9" s="65">
        <f>SUM(Z9*'Översikt fördelning'!$C$30)</f>
        <v>40239.464737366114</v>
      </c>
      <c r="AF9" s="5">
        <f>SUM(AA9*'Översikt fördelning'!$C$31)</f>
        <v>3804.8946501045407</v>
      </c>
      <c r="AG9" s="5">
        <f>SUM(AB9*'Översikt fördelning'!$C$32)</f>
        <v>5312.191775361177</v>
      </c>
      <c r="AH9" s="5">
        <f>SUM(AC9*'Översikt fördelning'!$C$33)</f>
        <v>8528.1244656625295</v>
      </c>
      <c r="AI9" s="5">
        <f>SUM(AD9*'Översikt fördelning'!$C$34)</f>
        <v>9297.5047033319861</v>
      </c>
      <c r="AJ9" s="66">
        <f t="shared" si="1"/>
        <v>67182.180331826356</v>
      </c>
      <c r="AL9" s="3" t="s">
        <v>50</v>
      </c>
      <c r="AM9" s="4">
        <f t="shared" si="2"/>
        <v>-1096.5385737089855</v>
      </c>
      <c r="AN9" s="140">
        <f t="shared" si="7"/>
        <v>-3461.2455061263358</v>
      </c>
      <c r="AO9" s="140">
        <f t="shared" si="8"/>
        <v>43384.294099999999</v>
      </c>
      <c r="AP9" s="17"/>
      <c r="AQ9" s="17">
        <f t="shared" si="3"/>
        <v>67182.180331826356</v>
      </c>
      <c r="AR9" s="150">
        <f t="shared" si="4"/>
        <v>106008.69035199104</v>
      </c>
      <c r="AS9" s="174">
        <f>AQ9/$AQ$28</f>
        <v>2.7718994466443044E-2</v>
      </c>
      <c r="AT9" s="5"/>
      <c r="AU9" s="125"/>
    </row>
    <row r="10" spans="1:47" ht="11.25">
      <c r="A10" s="45" t="s">
        <v>51</v>
      </c>
      <c r="B10" s="125">
        <f>32000*1.0099</f>
        <v>32316.799999999999</v>
      </c>
      <c r="C10" s="4"/>
      <c r="D10" s="17"/>
      <c r="E10" s="17"/>
      <c r="F10" s="17"/>
      <c r="G10" s="17"/>
      <c r="H10" s="17"/>
      <c r="I10" s="17">
        <f t="shared" si="5"/>
        <v>983.00813259693064</v>
      </c>
      <c r="J10" s="17"/>
      <c r="K10" s="17">
        <f t="shared" si="10"/>
        <v>1714.778756321982</v>
      </c>
      <c r="L10" s="17"/>
      <c r="M10" s="17"/>
      <c r="N10" s="17">
        <v>-2660.0348287959996</v>
      </c>
      <c r="O10" s="17"/>
      <c r="P10" s="140">
        <v>20700</v>
      </c>
      <c r="Q10" s="17"/>
      <c r="R10" s="60">
        <f t="shared" si="0"/>
        <v>53054.552060122915</v>
      </c>
      <c r="S10" s="106"/>
      <c r="T10" s="153">
        <f>1324.48084859686*1.0099</f>
        <v>1337.5932089979688</v>
      </c>
      <c r="U10" s="154">
        <f>682.479826617997*1.0099</f>
        <v>689.2363769015152</v>
      </c>
      <c r="V10" s="154">
        <f>1592.15808046551*1.0099</f>
        <v>1607.9204454621186</v>
      </c>
      <c r="W10" s="136">
        <f t="shared" si="6"/>
        <v>3634.7500313616024</v>
      </c>
      <c r="X10" s="21"/>
      <c r="Y10" s="45" t="s">
        <v>51</v>
      </c>
      <c r="Z10" s="122">
        <v>4.4937748784337574E-2</v>
      </c>
      <c r="AA10" s="123">
        <v>2.7319790507953183E-2</v>
      </c>
      <c r="AB10" s="122">
        <v>4.5662100456621002E-2</v>
      </c>
      <c r="AC10" s="122">
        <v>5.4185655862121582E-2</v>
      </c>
      <c r="AD10" s="124">
        <v>5.3127898588065547E-2</v>
      </c>
      <c r="AE10" s="65">
        <f>SUM(Z10*'Översikt fördelning'!$C$30)</f>
        <v>62626.159439497591</v>
      </c>
      <c r="AF10" s="5">
        <f>SUM(AA10*'Översikt fördelning'!$C$31)</f>
        <v>6621.4634688678534</v>
      </c>
      <c r="AG10" s="5">
        <f>SUM(AB10*'Översikt fördelning'!$C$32)</f>
        <v>8853.6529589352958</v>
      </c>
      <c r="AH10" s="5">
        <f>SUM(AC10*'Översikt fördelning'!$C$33)</f>
        <v>17072.782565452151</v>
      </c>
      <c r="AI10" s="5">
        <f>SUM(AD10*'Översikt fördelning'!$C$34)</f>
        <v>14808.023711331531</v>
      </c>
      <c r="AJ10" s="66">
        <f t="shared" si="1"/>
        <v>109982.08214408444</v>
      </c>
      <c r="AL10" s="3" t="s">
        <v>51</v>
      </c>
      <c r="AM10" s="4">
        <f>SUM(R10)</f>
        <v>53054.552060122915</v>
      </c>
      <c r="AN10" s="140">
        <f t="shared" si="7"/>
        <v>3634.7500313616024</v>
      </c>
      <c r="AO10" s="140">
        <f t="shared" si="8"/>
        <v>43384.294099999999</v>
      </c>
      <c r="AP10" s="17">
        <v>2600</v>
      </c>
      <c r="AQ10" s="17">
        <f t="shared" si="3"/>
        <v>109982.08214408444</v>
      </c>
      <c r="AR10" s="150">
        <f t="shared" si="4"/>
        <v>212655.67833556895</v>
      </c>
      <c r="AS10" s="174">
        <f t="shared" si="9"/>
        <v>4.5377996238022432E-2</v>
      </c>
      <c r="AT10" s="5"/>
      <c r="AU10" s="125"/>
    </row>
    <row r="11" spans="1:47" ht="11.25">
      <c r="A11" s="45" t="s">
        <v>52</v>
      </c>
      <c r="B11" s="103"/>
      <c r="C11" s="4"/>
      <c r="D11" s="17"/>
      <c r="E11" s="17"/>
      <c r="F11" s="17"/>
      <c r="G11" s="17"/>
      <c r="H11" s="17"/>
      <c r="I11" s="17"/>
      <c r="J11" s="17"/>
      <c r="K11" s="17">
        <f t="shared" si="10"/>
        <v>1714.778756321982</v>
      </c>
      <c r="L11" s="17"/>
      <c r="M11" s="17"/>
      <c r="N11" s="17">
        <v>-2124.7400640981564</v>
      </c>
      <c r="O11" s="17"/>
      <c r="P11" s="140"/>
      <c r="Q11" s="17"/>
      <c r="R11" s="60">
        <f t="shared" si="0"/>
        <v>-409.96130777617441</v>
      </c>
      <c r="S11" s="106"/>
      <c r="T11" s="153">
        <f>-1324.48084859686*1.0099</f>
        <v>-1337.5932089979688</v>
      </c>
      <c r="U11" s="154">
        <f>-1135.49503215473*1.0099</f>
        <v>-1146.7364329730619</v>
      </c>
      <c r="V11" s="154">
        <f>-927.020716428247*1.0099</f>
        <v>-936.1982215208867</v>
      </c>
      <c r="W11" s="136">
        <f t="shared" si="6"/>
        <v>-3420.5278634919173</v>
      </c>
      <c r="X11" s="21"/>
      <c r="Y11" s="45" t="s">
        <v>52</v>
      </c>
      <c r="Z11" s="122">
        <v>3.5117924947997224E-2</v>
      </c>
      <c r="AA11" s="123">
        <v>2.6133223191993481E-2</v>
      </c>
      <c r="AB11" s="122">
        <v>4.3378995433789952E-2</v>
      </c>
      <c r="AC11" s="122">
        <v>5.973608482989147E-2</v>
      </c>
      <c r="AD11" s="124">
        <v>5.2784362224741491E-2</v>
      </c>
      <c r="AE11" s="65">
        <f>SUM(Z11*'Översikt fördelning'!$C$30)</f>
        <v>48941.053490069804</v>
      </c>
      <c r="AF11" s="5">
        <f>SUM(AA11*'Översikt fördelning'!$C$31)</f>
        <v>6333.8766320034747</v>
      </c>
      <c r="AG11" s="5">
        <f>SUM(AB11*'Översikt fördelning'!$C$32)</f>
        <v>8410.9703109885304</v>
      </c>
      <c r="AH11" s="5">
        <f>SUM(AC11*'Översikt fördelning'!$C$33)</f>
        <v>18821.608253801252</v>
      </c>
      <c r="AI11" s="5">
        <f>SUM(AD11*'Översikt fördelning'!$C$34)</f>
        <v>14712.271860627803</v>
      </c>
      <c r="AJ11" s="66">
        <f t="shared" si="1"/>
        <v>97219.780547490867</v>
      </c>
      <c r="AL11" s="3" t="s">
        <v>52</v>
      </c>
      <c r="AM11" s="4">
        <f t="shared" si="2"/>
        <v>-409.96130777617441</v>
      </c>
      <c r="AN11" s="140">
        <f t="shared" si="7"/>
        <v>-3420.5278634919173</v>
      </c>
      <c r="AO11" s="140">
        <f t="shared" si="8"/>
        <v>43384.294099999999</v>
      </c>
      <c r="AP11" s="17"/>
      <c r="AQ11" s="17">
        <f t="shared" si="3"/>
        <v>97219.780547490867</v>
      </c>
      <c r="AR11" s="150">
        <f t="shared" si="4"/>
        <v>136773.58547622277</v>
      </c>
      <c r="AS11" s="174">
        <f t="shared" si="9"/>
        <v>4.0112341482732093E-2</v>
      </c>
      <c r="AT11" s="5"/>
      <c r="AU11" s="125"/>
    </row>
    <row r="12" spans="1:47" ht="11.25">
      <c r="A12" s="45" t="s">
        <v>53</v>
      </c>
      <c r="B12" s="103"/>
      <c r="C12" s="4"/>
      <c r="D12" s="17"/>
      <c r="E12" s="17"/>
      <c r="F12" s="17"/>
      <c r="G12" s="17"/>
      <c r="H12" s="17"/>
      <c r="I12" s="17"/>
      <c r="J12" s="17"/>
      <c r="K12" s="17">
        <f t="shared" si="10"/>
        <v>1714.778756321982</v>
      </c>
      <c r="L12" s="17"/>
      <c r="M12" s="17"/>
      <c r="N12" s="17">
        <v>-2674.4189491525635</v>
      </c>
      <c r="O12" s="17"/>
      <c r="P12" s="140"/>
      <c r="Q12" s="17"/>
      <c r="R12" s="60">
        <f t="shared" si="0"/>
        <v>-959.64019283058155</v>
      </c>
      <c r="S12" s="106"/>
      <c r="T12" s="153">
        <f>-1473.96293912091*1.0099</f>
        <v>-1488.5551722182072</v>
      </c>
      <c r="U12" s="154">
        <f>-115.915117865795*1.0099</f>
        <v>-117.06267753266637</v>
      </c>
      <c r="V12" s="154">
        <f>-638.485518439955*1.0099</f>
        <v>-644.80652507251057</v>
      </c>
      <c r="W12" s="136">
        <f t="shared" si="6"/>
        <v>-2250.4243748233839</v>
      </c>
      <c r="X12" s="21"/>
      <c r="Y12" s="45" t="s">
        <v>53</v>
      </c>
      <c r="Z12" s="122">
        <v>1.9454043052235456E-2</v>
      </c>
      <c r="AA12" s="123">
        <v>2.0975846013109239E-2</v>
      </c>
      <c r="AB12" s="122">
        <v>2.9680365296803651E-2</v>
      </c>
      <c r="AC12" s="122">
        <v>2.3671035426131845E-2</v>
      </c>
      <c r="AD12" s="124">
        <v>3.4748703150228454E-2</v>
      </c>
      <c r="AE12" s="65">
        <f>SUM(Z12*'Översikt fördelning'!$C$30)</f>
        <v>27111.549529975138</v>
      </c>
      <c r="AF12" s="5">
        <f>SUM(AA12*'Översikt fördelning'!$C$31)</f>
        <v>5083.8895731637158</v>
      </c>
      <c r="AG12" s="5">
        <f>SUM(AB12*'Översikt fördelning'!$C$32)</f>
        <v>5754.8744233079415</v>
      </c>
      <c r="AH12" s="5">
        <f>SUM(AC12*'Översikt fördelning'!$C$33)</f>
        <v>7458.2550400016644</v>
      </c>
      <c r="AI12" s="5">
        <f>SUM(AD12*'Översikt fördelning'!$C$34)</f>
        <v>9685.2996986820854</v>
      </c>
      <c r="AJ12" s="66">
        <f>SUM(AE12:AI12)</f>
        <v>55093.86826513055</v>
      </c>
      <c r="AL12" s="3" t="s">
        <v>53</v>
      </c>
      <c r="AM12" s="4">
        <f t="shared" si="2"/>
        <v>-959.64019283058155</v>
      </c>
      <c r="AN12" s="140">
        <f t="shared" si="7"/>
        <v>-2250.4243748233839</v>
      </c>
      <c r="AO12" s="140">
        <f t="shared" si="8"/>
        <v>43384.294099999999</v>
      </c>
      <c r="AP12" s="17"/>
      <c r="AQ12" s="17">
        <f t="shared" si="3"/>
        <v>55093.86826513055</v>
      </c>
      <c r="AR12" s="150">
        <f t="shared" si="4"/>
        <v>95268.097797476585</v>
      </c>
      <c r="AS12" s="174">
        <f t="shared" si="9"/>
        <v>2.2731424047764008E-2</v>
      </c>
      <c r="AT12" s="5"/>
      <c r="AU12" s="125"/>
    </row>
    <row r="13" spans="1:47" ht="11.25">
      <c r="A13" s="45" t="s">
        <v>54</v>
      </c>
      <c r="B13" s="103"/>
      <c r="C13" s="4"/>
      <c r="D13" s="17"/>
      <c r="E13" s="17"/>
      <c r="F13" s="17"/>
      <c r="G13" s="17"/>
      <c r="H13" s="17"/>
      <c r="I13" s="17">
        <f>1946.74350449932*1.0099</f>
        <v>1966.0162651938631</v>
      </c>
      <c r="J13" s="17"/>
      <c r="K13" s="17">
        <f t="shared" si="10"/>
        <v>1714.778756321982</v>
      </c>
      <c r="L13" s="17"/>
      <c r="M13" s="17"/>
      <c r="N13" s="17">
        <v>-6425.5920507107703</v>
      </c>
      <c r="O13" s="17"/>
      <c r="P13" s="140"/>
      <c r="Q13" s="17">
        <v>1000</v>
      </c>
      <c r="R13" s="60">
        <f t="shared" si="0"/>
        <v>-1744.797029194925</v>
      </c>
      <c r="S13" s="106"/>
      <c r="T13" s="153">
        <f>1473.96293912091*1.0099</f>
        <v>1488.5551722182072</v>
      </c>
      <c r="U13" s="154">
        <f>-303.981482566421*1.0099</f>
        <v>-306.99089924382855</v>
      </c>
      <c r="V13" s="154">
        <f>-665.137364037268*1.0099</f>
        <v>-671.72222394123696</v>
      </c>
      <c r="W13" s="136">
        <f t="shared" si="6"/>
        <v>509.84204903314162</v>
      </c>
      <c r="X13" s="21"/>
      <c r="Y13" s="45" t="s">
        <v>54</v>
      </c>
      <c r="Z13" s="122">
        <v>2.3647846421935174E-2</v>
      </c>
      <c r="AA13" s="123">
        <v>2.5999390736013695E-2</v>
      </c>
      <c r="AB13" s="122">
        <v>4.3378995433789952E-2</v>
      </c>
      <c r="AC13" s="122">
        <v>3.8889039303281948E-2</v>
      </c>
      <c r="AD13" s="124">
        <v>4.7493902229551001E-2</v>
      </c>
      <c r="AE13" s="65">
        <f>SUM(Z13*'Översikt fördelning'!$C$30)</f>
        <v>32956.119086611601</v>
      </c>
      <c r="AF13" s="5">
        <f>SUM(AA13*'Översikt fördelning'!$C$31)</f>
        <v>6301.4398269715675</v>
      </c>
      <c r="AG13" s="5">
        <f>SUM(AB13*'Översikt fördelning'!$C$32)</f>
        <v>8410.9703109885304</v>
      </c>
      <c r="AH13" s="5">
        <f>SUM(AC13*'Översikt fördelning'!$C$33)</f>
        <v>12253.134185432733</v>
      </c>
      <c r="AI13" s="5">
        <f>SUM(AD13*'Översikt fördelning'!$C$34)</f>
        <v>13237.693359790394</v>
      </c>
      <c r="AJ13" s="66">
        <f t="shared" si="1"/>
        <v>73159.356769794831</v>
      </c>
      <c r="AL13" s="3" t="s">
        <v>54</v>
      </c>
      <c r="AM13" s="4">
        <f t="shared" si="2"/>
        <v>-1744.797029194925</v>
      </c>
      <c r="AN13" s="140">
        <f t="shared" si="7"/>
        <v>509.84204903314162</v>
      </c>
      <c r="AO13" s="140">
        <f t="shared" si="8"/>
        <v>43384.294099999999</v>
      </c>
      <c r="AP13" s="17"/>
      <c r="AQ13" s="17">
        <f t="shared" si="3"/>
        <v>73159.356769794831</v>
      </c>
      <c r="AR13" s="150">
        <f t="shared" si="4"/>
        <v>115308.69588963305</v>
      </c>
      <c r="AS13" s="174">
        <f t="shared" si="9"/>
        <v>3.0185144266742299E-2</v>
      </c>
      <c r="AT13" s="5"/>
      <c r="AU13" s="125"/>
    </row>
    <row r="14" spans="1:47" ht="11.25">
      <c r="A14" s="45" t="s">
        <v>55</v>
      </c>
      <c r="B14" s="125">
        <f>6700*1.0099</f>
        <v>6766.33</v>
      </c>
      <c r="C14" s="4"/>
      <c r="D14" s="17"/>
      <c r="E14" s="17"/>
      <c r="F14" s="17"/>
      <c r="G14" s="17"/>
      <c r="H14" s="17"/>
      <c r="I14" s="17">
        <f t="shared" ref="I14:I17" si="11">973.371752249659*1.0099</f>
        <v>983.00813259693064</v>
      </c>
      <c r="J14" s="17"/>
      <c r="K14" s="17">
        <f t="shared" si="10"/>
        <v>1714.778756321982</v>
      </c>
      <c r="L14" s="17"/>
      <c r="M14" s="17"/>
      <c r="N14" s="17">
        <v>-2596.3337243597884</v>
      </c>
      <c r="O14" s="17"/>
      <c r="P14" s="140">
        <v>4400</v>
      </c>
      <c r="Q14" s="17"/>
      <c r="R14" s="60">
        <f t="shared" si="0"/>
        <v>11267.783164559123</v>
      </c>
      <c r="S14" s="106"/>
      <c r="T14" s="153">
        <f>-1010.45258090679*1.0099</f>
        <v>-1020.4560614577672</v>
      </c>
      <c r="U14" s="154">
        <f>-151.39933762063*1.0099</f>
        <v>-152.89819106307425</v>
      </c>
      <c r="V14" s="154">
        <f>-407.889115228429*1.0099</f>
        <v>-411.92721746919045</v>
      </c>
      <c r="W14" s="136">
        <f t="shared" si="6"/>
        <v>-1585.2814699900318</v>
      </c>
      <c r="X14" s="21"/>
      <c r="Y14" s="45" t="s">
        <v>55</v>
      </c>
      <c r="Z14" s="122">
        <v>5.8361172431858708E-3</v>
      </c>
      <c r="AA14" s="123">
        <v>7.073653221511266E-3</v>
      </c>
      <c r="AB14" s="122">
        <v>4.5662100456621002E-3</v>
      </c>
      <c r="AC14" s="122">
        <v>9.2198575936760091E-3</v>
      </c>
      <c r="AD14" s="124">
        <v>2.2226802707066545E-2</v>
      </c>
      <c r="AE14" s="65">
        <f>SUM(Z14*'Översikt fördelning'!$C$30)</f>
        <v>8133.3315278745604</v>
      </c>
      <c r="AF14" s="5">
        <f>SUM(AA14*'Översikt fördelning'!$C$31)</f>
        <v>1714.4324874687843</v>
      </c>
      <c r="AG14" s="5">
        <f>SUM(AB14*'Översikt fördelning'!$C$32)</f>
        <v>885.36529589352949</v>
      </c>
      <c r="AH14" s="5">
        <f>SUM(AC14*'Översikt fördelning'!$C$33)</f>
        <v>2904.9869652182197</v>
      </c>
      <c r="AI14" s="5">
        <f>SUM(AD14*'Översikt fördelning'!$C$34)</f>
        <v>6195.1447405312001</v>
      </c>
      <c r="AJ14" s="66">
        <f t="shared" si="1"/>
        <v>19833.261016986293</v>
      </c>
      <c r="AL14" s="3" t="s">
        <v>55</v>
      </c>
      <c r="AM14" s="4">
        <f t="shared" si="2"/>
        <v>11267.783164559123</v>
      </c>
      <c r="AN14" s="140">
        <f>SUM(W14)</f>
        <v>-1585.2814699900318</v>
      </c>
      <c r="AO14" s="140">
        <f t="shared" si="8"/>
        <v>43384.294099999999</v>
      </c>
      <c r="AP14" s="17"/>
      <c r="AQ14" s="17">
        <f t="shared" si="3"/>
        <v>19833.261016986293</v>
      </c>
      <c r="AR14" s="150">
        <f t="shared" si="4"/>
        <v>72900.056811555376</v>
      </c>
      <c r="AS14" s="174">
        <f t="shared" si="9"/>
        <v>8.1830933391265001E-3</v>
      </c>
      <c r="AT14" s="5"/>
      <c r="AU14" s="125"/>
    </row>
    <row r="15" spans="1:47" ht="11.25">
      <c r="A15" s="45" t="s">
        <v>56</v>
      </c>
      <c r="B15" s="103"/>
      <c r="C15" s="4"/>
      <c r="D15" s="17"/>
      <c r="E15" s="17"/>
      <c r="F15" s="17"/>
      <c r="G15" s="17"/>
      <c r="H15" s="17">
        <f>-5497.68844734913*1.0099</f>
        <v>-5552.1155629778868</v>
      </c>
      <c r="I15" s="17">
        <f t="shared" si="11"/>
        <v>983.00813259693064</v>
      </c>
      <c r="J15" s="17"/>
      <c r="K15" s="17">
        <f t="shared" si="10"/>
        <v>1714.778756321982</v>
      </c>
      <c r="L15" s="17"/>
      <c r="M15" s="17"/>
      <c r="N15" s="17">
        <v>-3575.4813457744613</v>
      </c>
      <c r="O15" s="17"/>
      <c r="P15" s="140"/>
      <c r="Q15" s="17"/>
      <c r="R15" s="60">
        <f t="shared" si="0"/>
        <v>-6429.8100198334359</v>
      </c>
      <c r="S15" s="106"/>
      <c r="T15" s="153">
        <f>-1865.62919181185*1.0099</f>
        <v>-1884.0989208107874</v>
      </c>
      <c r="U15" s="154">
        <f>-89.8933567122491*1.0099</f>
        <v>-90.783300943700368</v>
      </c>
      <c r="V15" s="154">
        <f>-420.635650079317*1.0099</f>
        <v>-424.7999430151022</v>
      </c>
      <c r="W15" s="136">
        <f t="shared" si="6"/>
        <v>-2399.6821647695901</v>
      </c>
      <c r="X15" s="21"/>
      <c r="Y15" s="45" t="s">
        <v>56</v>
      </c>
      <c r="Z15" s="122">
        <v>1.5205897711188878E-2</v>
      </c>
      <c r="AA15" s="123">
        <v>6.7942992022575416E-3</v>
      </c>
      <c r="AB15" s="122">
        <v>1.5981735159817351E-2</v>
      </c>
      <c r="AC15" s="122">
        <v>2.2146843930792005E-2</v>
      </c>
      <c r="AD15" s="124">
        <v>2.1075955889930949E-2</v>
      </c>
      <c r="AE15" s="65">
        <f>SUM(Z15*'Översikt fördelning'!$C$30)</f>
        <v>21191.247898326241</v>
      </c>
      <c r="AF15" s="5">
        <f>SUM(AA15*'Översikt fördelning'!$C$31)</f>
        <v>1646.7258030843832</v>
      </c>
      <c r="AG15" s="5">
        <f>SUM(AB15*'Översikt fördelning'!$C$32)</f>
        <v>3098.7785356273534</v>
      </c>
      <c r="AH15" s="5">
        <f>SUM(AC15*'Översikt fördelning'!$C$33)</f>
        <v>6978.0137367633433</v>
      </c>
      <c r="AI15" s="5">
        <f>SUM(AD15*'Översikt fördelning'!$C$34)</f>
        <v>5874.376040673711</v>
      </c>
      <c r="AJ15" s="66">
        <f t="shared" si="1"/>
        <v>38789.14201447503</v>
      </c>
      <c r="AL15" s="3" t="s">
        <v>56</v>
      </c>
      <c r="AM15" s="4">
        <f t="shared" si="2"/>
        <v>-6429.8100198334359</v>
      </c>
      <c r="AN15" s="140">
        <f t="shared" si="7"/>
        <v>-2399.6821647695901</v>
      </c>
      <c r="AO15" s="140">
        <f t="shared" si="8"/>
        <v>43384.294099999999</v>
      </c>
      <c r="AP15" s="17"/>
      <c r="AQ15" s="17">
        <f t="shared" si="3"/>
        <v>38789.14201447503</v>
      </c>
      <c r="AR15" s="150">
        <f t="shared" si="4"/>
        <v>73343.94392987201</v>
      </c>
      <c r="AS15" s="174">
        <f t="shared" si="9"/>
        <v>1.600418455528976E-2</v>
      </c>
      <c r="AT15" s="5"/>
      <c r="AU15" s="125"/>
    </row>
    <row r="16" spans="1:47" ht="11.25">
      <c r="A16" s="45" t="s">
        <v>57</v>
      </c>
      <c r="B16" s="103"/>
      <c r="C16" s="4">
        <f>3000</f>
        <v>3000</v>
      </c>
      <c r="D16" s="17"/>
      <c r="E16" s="17"/>
      <c r="F16" s="17"/>
      <c r="G16" s="17">
        <f>6766.9714252*1.0099</f>
        <v>6833.9644423094805</v>
      </c>
      <c r="H16" s="17">
        <f>5497.68844734913*1.0099</f>
        <v>5552.1155629778868</v>
      </c>
      <c r="I16" s="17">
        <f t="shared" si="11"/>
        <v>983.00813259693064</v>
      </c>
      <c r="J16" s="17"/>
      <c r="K16" s="17">
        <f>2546.95329684422*1.0099</f>
        <v>2572.1681344829776</v>
      </c>
      <c r="L16" s="17">
        <f>4480.8324302*1.0099</f>
        <v>4525.1926712589802</v>
      </c>
      <c r="M16" s="17">
        <f>3032.4*1.0099</f>
        <v>3062.42076</v>
      </c>
      <c r="N16" s="17">
        <v>-6781.0853109515647</v>
      </c>
      <c r="O16" s="17">
        <v>500</v>
      </c>
      <c r="P16" s="140">
        <v>20700</v>
      </c>
      <c r="Q16" s="17"/>
      <c r="R16" s="60">
        <f t="shared" si="0"/>
        <v>40947.784392674694</v>
      </c>
      <c r="S16" s="106"/>
      <c r="T16" s="153">
        <f>1865.62919181185*1.0099</f>
        <v>1884.0989208107874</v>
      </c>
      <c r="U16" s="154">
        <f>400.971683229638*1.0099</f>
        <v>404.94130289361146</v>
      </c>
      <c r="V16" s="154">
        <f>1059.12116851927*1.0099</f>
        <v>1069.6064680876109</v>
      </c>
      <c r="W16" s="136">
        <f t="shared" si="6"/>
        <v>3358.6466917920097</v>
      </c>
      <c r="X16" s="21"/>
      <c r="Y16" s="45" t="s">
        <v>57</v>
      </c>
      <c r="Z16" s="122">
        <v>0.13417348444738519</v>
      </c>
      <c r="AA16" s="123">
        <v>2.5261792420675555E-2</v>
      </c>
      <c r="AB16" s="122">
        <v>0.1095890410958904</v>
      </c>
      <c r="AC16" s="122">
        <v>0.12053661568279211</v>
      </c>
      <c r="AD16" s="124">
        <v>0.12877460579202307</v>
      </c>
      <c r="AE16" s="65">
        <f>SUM(Z16*'Översikt fördelning'!$C$30)</f>
        <v>186986.89313256307</v>
      </c>
      <c r="AF16" s="5">
        <f>SUM(AA16*'Översikt fördelning'!$C$31)</f>
        <v>6122.6690454647269</v>
      </c>
      <c r="AG16" s="5">
        <f>SUM(AB16*'Översikt fördelning'!$C$32)</f>
        <v>21248.767101444708</v>
      </c>
      <c r="AH16" s="5">
        <f>SUM(AC16*'Översikt fördelning'!$C$33)</f>
        <v>37978.601494908711</v>
      </c>
      <c r="AI16" s="5">
        <f>SUM(AD16*'Översikt fördelning'!$C$34)</f>
        <v>35892.581236292426</v>
      </c>
      <c r="AJ16" s="66">
        <f>SUM(AE16:AI16)</f>
        <v>288229.51201067364</v>
      </c>
      <c r="AL16" s="3" t="s">
        <v>57</v>
      </c>
      <c r="AM16" s="4">
        <f t="shared" si="2"/>
        <v>40947.784392674694</v>
      </c>
      <c r="AN16" s="140">
        <f t="shared" si="7"/>
        <v>3358.6466917920097</v>
      </c>
      <c r="AO16" s="140">
        <f t="shared" si="8"/>
        <v>43384.294099999999</v>
      </c>
      <c r="AP16" s="17"/>
      <c r="AQ16" s="17">
        <f t="shared" si="3"/>
        <v>288229.51201067364</v>
      </c>
      <c r="AR16" s="150">
        <f t="shared" si="4"/>
        <v>375920.23719514033</v>
      </c>
      <c r="AS16" s="174">
        <f t="shared" si="9"/>
        <v>0.11892189579183085</v>
      </c>
      <c r="AT16" s="5"/>
      <c r="AU16" s="125"/>
    </row>
    <row r="17" spans="1:47" ht="11.25">
      <c r="A17" s="45" t="s">
        <v>58</v>
      </c>
      <c r="B17" s="103"/>
      <c r="C17" s="4"/>
      <c r="D17" s="17"/>
      <c r="E17" s="17"/>
      <c r="F17" s="17"/>
      <c r="G17" s="17"/>
      <c r="H17" s="17"/>
      <c r="I17" s="17">
        <f t="shared" si="11"/>
        <v>983.00813259693064</v>
      </c>
      <c r="J17" s="17"/>
      <c r="K17" s="17">
        <f t="shared" si="10"/>
        <v>1714.778756321982</v>
      </c>
      <c r="L17" s="17"/>
      <c r="M17" s="17"/>
      <c r="N17" s="17">
        <v>-2476.1235756656465</v>
      </c>
      <c r="O17" s="17"/>
      <c r="P17" s="140"/>
      <c r="Q17" s="17">
        <v>1000</v>
      </c>
      <c r="R17" s="60">
        <f t="shared" si="0"/>
        <v>1221.6633132532661</v>
      </c>
      <c r="S17" s="106"/>
      <c r="T17" s="153"/>
      <c r="U17" s="154">
        <f>-240.109887007718*1.0099</f>
        <v>-242.4869748890944</v>
      </c>
      <c r="V17" s="154">
        <f>-747.410452620274*1.0099</f>
        <v>-754.80981610121466</v>
      </c>
      <c r="W17" s="136">
        <f>SUM(T17:V17)</f>
        <v>-997.29679099030909</v>
      </c>
      <c r="X17" s="21"/>
      <c r="Y17" s="45" t="s">
        <v>58</v>
      </c>
      <c r="Z17" s="122">
        <v>3.255189323409928E-2</v>
      </c>
      <c r="AA17" s="123">
        <v>1.2711423655043049E-2</v>
      </c>
      <c r="AB17" s="122">
        <v>2.2831050228310501E-2</v>
      </c>
      <c r="AC17" s="122">
        <v>3.2645422199813298E-2</v>
      </c>
      <c r="AD17" s="124">
        <v>4.8627572228520391E-2</v>
      </c>
      <c r="AE17" s="65">
        <f>SUM(Z17*'Översikt fördelning'!$C$30)</f>
        <v>45364.979574738514</v>
      </c>
      <c r="AF17" s="5">
        <f>SUM(AA17*'Översikt fördelning'!$C$31)</f>
        <v>3080.8518588262109</v>
      </c>
      <c r="AG17" s="5">
        <f>SUM(AB17*'Översikt fördelning'!$C$32)</f>
        <v>4426.8264794676479</v>
      </c>
      <c r="AH17" s="5">
        <f>SUM(AC17*'Översikt fördelning'!$C$33)</f>
        <v>10285.899212754768</v>
      </c>
      <c r="AI17" s="5">
        <f>SUM(AD17*'Översikt fördelning'!$C$34)</f>
        <v>13553.674467112694</v>
      </c>
      <c r="AJ17" s="66">
        <f t="shared" si="1"/>
        <v>76712.231592899829</v>
      </c>
      <c r="AL17" s="3" t="s">
        <v>58</v>
      </c>
      <c r="AM17" s="4">
        <f t="shared" si="2"/>
        <v>1221.6633132532661</v>
      </c>
      <c r="AN17" s="140">
        <f>SUM(W17)</f>
        <v>-997.29679099030909</v>
      </c>
      <c r="AO17" s="140">
        <f>42959*1.0099</f>
        <v>43384.294099999999</v>
      </c>
      <c r="AP17" s="17"/>
      <c r="AQ17" s="17">
        <f t="shared" si="3"/>
        <v>76712.231592899829</v>
      </c>
      <c r="AR17" s="150">
        <f t="shared" si="4"/>
        <v>120320.89221516278</v>
      </c>
      <c r="AS17" s="174">
        <f t="shared" si="9"/>
        <v>3.1651040685631786E-2</v>
      </c>
      <c r="AT17" s="5"/>
      <c r="AU17" s="125"/>
    </row>
    <row r="18" spans="1:47" ht="11.25">
      <c r="A18" s="45" t="s">
        <v>59</v>
      </c>
      <c r="B18" s="17">
        <f>(998.01587910192*1.0099)+(3000)+(5000*1.0099)</f>
        <v>9057.3962363050287</v>
      </c>
      <c r="C18" s="4">
        <f>15000</f>
        <v>15000</v>
      </c>
      <c r="D18" s="17"/>
      <c r="E18" s="17">
        <f>987.987080395724*1.0099</f>
        <v>997.76815249164167</v>
      </c>
      <c r="F18" s="17"/>
      <c r="G18" s="17">
        <f>6766.9714252*1.0099</f>
        <v>6833.9644423094805</v>
      </c>
      <c r="H18" s="17"/>
      <c r="I18" s="17">
        <f>2781.06214928474*1.0099</f>
        <v>2808.5946645626591</v>
      </c>
      <c r="J18" s="17">
        <f>2352.46600074024*1.0099</f>
        <v>2375.7554141475684</v>
      </c>
      <c r="K18" s="17">
        <f>2546.95329684422*1.0099</f>
        <v>2572.1681344829776</v>
      </c>
      <c r="L18" s="17">
        <f>4480.8324302*1.0099</f>
        <v>4525.1926712589802</v>
      </c>
      <c r="M18" s="17">
        <f>4043.2*1.0099</f>
        <v>4083.22768</v>
      </c>
      <c r="N18" s="17">
        <v>-8198.948603241437</v>
      </c>
      <c r="O18" s="17">
        <v>500</v>
      </c>
      <c r="P18" s="140">
        <v>20700</v>
      </c>
      <c r="Q18" s="17"/>
      <c r="R18" s="60">
        <f t="shared" si="0"/>
        <v>61255.118792316898</v>
      </c>
      <c r="S18" s="106"/>
      <c r="T18" s="153"/>
      <c r="U18" s="154">
        <f>358.390619523835*1.0099</f>
        <v>361.93868665712102</v>
      </c>
      <c r="V18" s="154">
        <f>747.410452620274*1.0099</f>
        <v>754.80981610121466</v>
      </c>
      <c r="W18" s="136">
        <f t="shared" si="6"/>
        <v>1116.7485027583357</v>
      </c>
      <c r="X18" s="21"/>
      <c r="Y18" s="45" t="s">
        <v>59</v>
      </c>
      <c r="Z18" s="122">
        <v>0.16693499609560589</v>
      </c>
      <c r="AA18" s="123">
        <v>6.4318720608209062E-2</v>
      </c>
      <c r="AB18" s="122">
        <v>0.16894977168949771</v>
      </c>
      <c r="AC18" s="122">
        <v>0.14256453237717814</v>
      </c>
      <c r="AD18" s="124">
        <v>0.19114363255350578</v>
      </c>
      <c r="AE18" s="65">
        <f>SUM(Z18*'Översikt fördelning'!$C$30)</f>
        <v>232644.00118679492</v>
      </c>
      <c r="AF18" s="5">
        <f>SUM(AA18*'Översikt fördelning'!$C$31)</f>
        <v>15588.847899386101</v>
      </c>
      <c r="AG18" s="5">
        <f>SUM(AB18*'Översikt fördelning'!$C$32)</f>
        <v>32758.515948060591</v>
      </c>
      <c r="AH18" s="5">
        <f>SUM(AC18*'Översikt fördelning'!$C$33)</f>
        <v>44919.143712393299</v>
      </c>
      <c r="AI18" s="5">
        <f>SUM(AD18*'Översikt fördelning'!$C$34)</f>
        <v>53276.329731554237</v>
      </c>
      <c r="AJ18" s="66">
        <f t="shared" si="1"/>
        <v>379186.83847818919</v>
      </c>
      <c r="AL18" s="3" t="s">
        <v>59</v>
      </c>
      <c r="AM18" s="4">
        <f t="shared" si="2"/>
        <v>61255.118792316898</v>
      </c>
      <c r="AN18" s="140">
        <f t="shared" si="7"/>
        <v>1116.7485027583357</v>
      </c>
      <c r="AO18" s="140">
        <f t="shared" si="8"/>
        <v>43384.294099999999</v>
      </c>
      <c r="AP18" s="17">
        <v>7000</v>
      </c>
      <c r="AQ18" s="17">
        <f t="shared" si="3"/>
        <v>379186.83847818919</v>
      </c>
      <c r="AR18" s="150">
        <f t="shared" si="4"/>
        <v>491942.99987326446</v>
      </c>
      <c r="AS18" s="174">
        <f t="shared" si="9"/>
        <v>0.15645038350364038</v>
      </c>
      <c r="AT18" s="5"/>
      <c r="AU18" s="125"/>
    </row>
    <row r="19" spans="1:47" ht="11.25">
      <c r="A19" s="45" t="s">
        <v>60</v>
      </c>
      <c r="C19" s="4"/>
      <c r="D19" s="17"/>
      <c r="E19" s="17">
        <f>1327.60763928175*1.0099</f>
        <v>1340.7509549106392</v>
      </c>
      <c r="F19" s="17"/>
      <c r="G19" s="17"/>
      <c r="H19" s="17"/>
      <c r="I19" s="17"/>
      <c r="J19" s="17"/>
      <c r="K19" s="17">
        <f t="shared" si="10"/>
        <v>1714.778756321982</v>
      </c>
      <c r="L19" s="17"/>
      <c r="M19" s="17"/>
      <c r="N19" s="17">
        <v>-4225.8490733248154</v>
      </c>
      <c r="O19" s="17"/>
      <c r="P19" s="140"/>
      <c r="Q19" s="17"/>
      <c r="R19" s="60">
        <f t="shared" si="0"/>
        <v>-1170.3193620921943</v>
      </c>
      <c r="S19" s="106"/>
      <c r="T19" s="153">
        <f>-1730.05241203422*1.0099</f>
        <v>-1747.1799309133587</v>
      </c>
      <c r="U19" s="154">
        <f>-767.641954029601*1.0099</f>
        <v>-775.24160937449415</v>
      </c>
      <c r="V19" s="154">
        <f>-1010.45258090679*1.0099</f>
        <v>-1020.4560614577672</v>
      </c>
      <c r="W19" s="136">
        <f t="shared" si="6"/>
        <v>-3542.8776017456198</v>
      </c>
      <c r="X19" s="21"/>
      <c r="Y19" s="45" t="s">
        <v>60</v>
      </c>
      <c r="Z19" s="122">
        <v>2.709406499567656E-2</v>
      </c>
      <c r="AA19" s="123">
        <v>4.8698743096889298E-2</v>
      </c>
      <c r="AB19" s="122">
        <v>5.4794520547945202E-2</v>
      </c>
      <c r="AC19" s="122">
        <v>5.0158094061073535E-2</v>
      </c>
      <c r="AD19" s="124">
        <v>5.0482668590470299E-2</v>
      </c>
      <c r="AE19" s="65">
        <f>SUM(Z19*'Översikt fördelning'!$C$30)</f>
        <v>37758.839287355353</v>
      </c>
      <c r="AF19" s="5">
        <f>SUM(AA19*'Översikt fördelning'!$C$31)</f>
        <v>11803.053478831078</v>
      </c>
      <c r="AG19" s="5">
        <f>SUM(AB19*'Översikt fördelning'!$C$32)</f>
        <v>10624.383550722354</v>
      </c>
      <c r="AH19" s="5">
        <f>SUM(AC19*'Översikt fördelning'!$C$33)</f>
        <v>15803.780911708547</v>
      </c>
      <c r="AI19" s="5">
        <f>SUM(AD19*'Översikt fördelning'!$C$34)</f>
        <v>14070.734460912825</v>
      </c>
      <c r="AJ19" s="66">
        <f t="shared" si="1"/>
        <v>90060.791689530146</v>
      </c>
      <c r="AL19" s="3" t="s">
        <v>60</v>
      </c>
      <c r="AM19" s="4">
        <f t="shared" si="2"/>
        <v>-1170.3193620921943</v>
      </c>
      <c r="AN19" s="140">
        <f t="shared" si="7"/>
        <v>-3542.8776017456198</v>
      </c>
      <c r="AO19" s="140">
        <f t="shared" si="8"/>
        <v>43384.294099999999</v>
      </c>
      <c r="AP19" s="17"/>
      <c r="AQ19" s="17">
        <f t="shared" si="3"/>
        <v>90060.791689530146</v>
      </c>
      <c r="AR19" s="150">
        <f t="shared" si="4"/>
        <v>128731.88882569232</v>
      </c>
      <c r="AS19" s="174">
        <f t="shared" si="9"/>
        <v>3.7158582441882193E-2</v>
      </c>
      <c r="AT19" s="5"/>
      <c r="AU19" s="125"/>
    </row>
    <row r="20" spans="1:47" ht="11.25">
      <c r="A20" s="45" t="s">
        <v>61</v>
      </c>
      <c r="B20" s="17">
        <f>(993.872904917392*1.0099)+(9338.82875509547*1.0099)+(525.616*1.0099)</f>
        <v>10965.815004846989</v>
      </c>
      <c r="C20" s="4"/>
      <c r="D20" s="17"/>
      <c r="E20" s="17">
        <f>1327.60763928175*1.0099</f>
        <v>1340.7509549106392</v>
      </c>
      <c r="F20" s="17"/>
      <c r="G20" s="17"/>
      <c r="H20" s="17"/>
      <c r="I20" s="17"/>
      <c r="J20" s="17"/>
      <c r="K20" s="17">
        <f t="shared" si="10"/>
        <v>1714.778756321982</v>
      </c>
      <c r="L20" s="17"/>
      <c r="M20" s="17"/>
      <c r="N20" s="17">
        <v>-3494.3138094767078</v>
      </c>
      <c r="O20" s="17"/>
      <c r="P20" s="140">
        <v>22600</v>
      </c>
      <c r="Q20" s="17"/>
      <c r="R20" s="60">
        <f t="shared" si="0"/>
        <v>33127.0309066029</v>
      </c>
      <c r="S20" s="106"/>
      <c r="T20" s="153">
        <f>1730.05241203422*1.0099</f>
        <v>1747.1799309133587</v>
      </c>
      <c r="U20" s="154">
        <f>-173.872676798692*1.0099</f>
        <v>-175.59401629899907</v>
      </c>
      <c r="V20" s="154">
        <f>-696.424313216721*1.0099</f>
        <v>-703.31891391756653</v>
      </c>
      <c r="W20" s="136">
        <f t="shared" si="6"/>
        <v>868.26700069679305</v>
      </c>
      <c r="X20" s="21"/>
      <c r="Y20" s="45" t="s">
        <v>61</v>
      </c>
      <c r="Z20" s="122">
        <v>2.9351552946205468E-2</v>
      </c>
      <c r="AA20" s="123">
        <v>2.1529480576749051E-2</v>
      </c>
      <c r="AB20" s="122">
        <v>4.3378995433789952E-2</v>
      </c>
      <c r="AC20" s="122">
        <v>4.0854138591931322E-2</v>
      </c>
      <c r="AD20" s="124">
        <v>3.6140025421690883E-2</v>
      </c>
      <c r="AE20" s="65">
        <f>SUM(Z20*'Översikt fördelning'!$C$30)</f>
        <v>40904.92034720238</v>
      </c>
      <c r="AF20" s="5">
        <f>SUM(AA20*'Översikt fördelning'!$C$31)</f>
        <v>5218.0732901719566</v>
      </c>
      <c r="AG20" s="5">
        <f>SUM(AB20*'Översikt fördelning'!$C$32)</f>
        <v>8410.9703109885304</v>
      </c>
      <c r="AH20" s="5">
        <f>SUM(AC20*'Översikt fördelning'!$C$33)</f>
        <v>12872.296440476846</v>
      </c>
      <c r="AI20" s="5">
        <f>SUM(AD20*'Översikt fördelning'!$C$34)</f>
        <v>10073.094694032181</v>
      </c>
      <c r="AJ20" s="66">
        <f t="shared" si="1"/>
        <v>77479.355082871887</v>
      </c>
      <c r="AL20" s="3" t="s">
        <v>61</v>
      </c>
      <c r="AM20" s="4">
        <f t="shared" si="2"/>
        <v>33127.0309066029</v>
      </c>
      <c r="AN20" s="140">
        <f t="shared" si="7"/>
        <v>868.26700069679305</v>
      </c>
      <c r="AO20" s="140">
        <f t="shared" si="8"/>
        <v>43384.294099999999</v>
      </c>
      <c r="AP20" s="17">
        <f>200+1000+500+400+11000+15000+60000</f>
        <v>88100</v>
      </c>
      <c r="AQ20" s="17">
        <f>AJ20</f>
        <v>77479.355082871887</v>
      </c>
      <c r="AR20" s="150">
        <f t="shared" si="4"/>
        <v>242958.9470901716</v>
      </c>
      <c r="AS20" s="174">
        <f t="shared" si="9"/>
        <v>3.1967551576891753E-2</v>
      </c>
      <c r="AT20" s="5"/>
      <c r="AU20" s="125"/>
    </row>
    <row r="21" spans="1:47" ht="11.25">
      <c r="A21" s="45" t="s">
        <v>62</v>
      </c>
      <c r="B21" s="103"/>
      <c r="C21" s="4"/>
      <c r="D21" s="17"/>
      <c r="E21" s="17">
        <f>987.987080395724*1.0099</f>
        <v>997.76815249164167</v>
      </c>
      <c r="F21" s="17"/>
      <c r="G21" s="17"/>
      <c r="H21" s="17"/>
      <c r="I21" s="17"/>
      <c r="J21" s="17"/>
      <c r="K21" s="17">
        <f t="shared" si="10"/>
        <v>1714.778756321982</v>
      </c>
      <c r="L21" s="17"/>
      <c r="M21" s="17"/>
      <c r="N21" s="17">
        <v>-4884.4362982217781</v>
      </c>
      <c r="O21" s="17"/>
      <c r="P21" s="140"/>
      <c r="Q21" s="17"/>
      <c r="R21" s="60">
        <f t="shared" si="0"/>
        <v>-2171.8893894081543</v>
      </c>
      <c r="S21" s="106"/>
      <c r="T21" s="153">
        <f>-1446.15231762807*1.0099</f>
        <v>-1460.4692255725879</v>
      </c>
      <c r="U21" s="154">
        <f>-262.58322618578*1.0099</f>
        <v>-265.18280012501924</v>
      </c>
      <c r="V21" s="154">
        <f>-442.652392094488*1.0099</f>
        <v>-447.03465077622343</v>
      </c>
      <c r="W21" s="136">
        <f t="shared" si="6"/>
        <v>-2172.6866764738306</v>
      </c>
      <c r="X21" s="21"/>
      <c r="Y21" s="45" t="s">
        <v>62</v>
      </c>
      <c r="Z21" s="122">
        <v>2.6689466057602872E-2</v>
      </c>
      <c r="AA21" s="123">
        <v>1.264750234173273E-2</v>
      </c>
      <c r="AB21" s="122">
        <v>2.7397260273972601E-2</v>
      </c>
      <c r="AC21" s="122">
        <v>3.1671928037680042E-2</v>
      </c>
      <c r="AD21" s="124">
        <v>2.511250815898863E-2</v>
      </c>
      <c r="AE21" s="65">
        <f>SUM(Z21*'Översikt fördelning'!$C$30)</f>
        <v>37194.981989419561</v>
      </c>
      <c r="AF21" s="5">
        <f>SUM(AA21*'Översikt fördelning'!$C$31)</f>
        <v>3065.3593300367565</v>
      </c>
      <c r="AG21" s="5">
        <f>SUM(AB21*'Översikt fördelning'!$C$32)</f>
        <v>5312.191775361177</v>
      </c>
      <c r="AH21" s="5">
        <f>SUM(AC21*'Översikt fördelning'!$C$33)</f>
        <v>9979.1712808989778</v>
      </c>
      <c r="AI21" s="5">
        <f>SUM(AD21*'Översikt fördelning'!$C$34)</f>
        <v>6999.4602864425151</v>
      </c>
      <c r="AJ21" s="66">
        <f t="shared" si="1"/>
        <v>62551.16466215899</v>
      </c>
      <c r="AL21" s="3" t="s">
        <v>62</v>
      </c>
      <c r="AM21" s="4">
        <f t="shared" si="2"/>
        <v>-2171.8893894081543</v>
      </c>
      <c r="AN21" s="140">
        <f t="shared" si="7"/>
        <v>-2172.6866764738306</v>
      </c>
      <c r="AO21" s="140">
        <f t="shared" si="8"/>
        <v>43384.294099999999</v>
      </c>
      <c r="AP21" s="17">
        <f>30000+1000</f>
        <v>31000</v>
      </c>
      <c r="AQ21" s="17">
        <f t="shared" si="3"/>
        <v>62551.16466215899</v>
      </c>
      <c r="AR21" s="150">
        <f t="shared" si="4"/>
        <v>132590.882696277</v>
      </c>
      <c r="AS21" s="174">
        <f t="shared" si="9"/>
        <v>2.5808263122394821E-2</v>
      </c>
      <c r="AT21" s="5"/>
      <c r="AU21" s="125"/>
    </row>
    <row r="22" spans="1:47" ht="11.25">
      <c r="A22" s="45" t="s">
        <v>63</v>
      </c>
      <c r="B22" s="103"/>
      <c r="C22" s="4"/>
      <c r="D22" s="17"/>
      <c r="E22" s="17">
        <f>1327.60763928175*1.0099</f>
        <v>1340.7509549106392</v>
      </c>
      <c r="F22" s="17"/>
      <c r="G22" s="17"/>
      <c r="H22" s="17"/>
      <c r="I22" s="17"/>
      <c r="J22" s="17"/>
      <c r="K22" s="17">
        <f t="shared" si="10"/>
        <v>1714.778756321982</v>
      </c>
      <c r="L22" s="17"/>
      <c r="M22" s="17"/>
      <c r="N22" s="17">
        <v>-4745.7322804977684</v>
      </c>
      <c r="O22" s="17"/>
      <c r="P22" s="140"/>
      <c r="Q22" s="17"/>
      <c r="R22" s="60">
        <f t="shared" si="0"/>
        <v>-1690.2025692651473</v>
      </c>
      <c r="S22" s="106"/>
      <c r="T22" s="153">
        <f>1470.48661143431*1.0099</f>
        <v>1485.0444288875096</v>
      </c>
      <c r="U22" s="154">
        <f>976.998850583129*1.0099</f>
        <v>986.67113920390193</v>
      </c>
      <c r="V22" s="154">
        <f>2261.93054808492*1.0099</f>
        <v>2284.3236605109605</v>
      </c>
      <c r="W22" s="136">
        <f t="shared" si="6"/>
        <v>4756.0392286023725</v>
      </c>
      <c r="X22" s="21"/>
      <c r="Y22" s="45" t="s">
        <v>63</v>
      </c>
      <c r="Z22" s="122">
        <v>2.7590700864094746E-2</v>
      </c>
      <c r="AA22" s="123">
        <v>6.754755153432386E-2</v>
      </c>
      <c r="AB22" s="122">
        <v>5.9360730593607303E-2</v>
      </c>
      <c r="AC22" s="122">
        <v>3.9009416466665073E-2</v>
      </c>
      <c r="AD22" s="124">
        <v>3.1072864062661031E-2</v>
      </c>
      <c r="AE22" s="65">
        <f>SUM(Z22*'Översikt fördelning'!$C$30)</f>
        <v>38450.961120787542</v>
      </c>
      <c r="AF22" s="5">
        <f>SUM(AA22*'Översikt fördelning'!$C$31)</f>
        <v>16371.415614105435</v>
      </c>
      <c r="AG22" s="5">
        <f>SUM(AB22*'Översikt fördelning'!$C$32)</f>
        <v>11509.748846615883</v>
      </c>
      <c r="AH22" s="5">
        <f>SUM(AC22*'Översikt fördelning'!$C$33)</f>
        <v>12291.062546796773</v>
      </c>
      <c r="AI22" s="5">
        <f>SUM(AD22*'Översikt fördelning'!$C$34)</f>
        <v>8660.7548961521952</v>
      </c>
      <c r="AJ22" s="66">
        <f t="shared" si="1"/>
        <v>87283.943024457825</v>
      </c>
      <c r="AL22" s="3" t="s">
        <v>63</v>
      </c>
      <c r="AM22" s="4">
        <f t="shared" si="2"/>
        <v>-1690.2025692651473</v>
      </c>
      <c r="AN22" s="140">
        <f t="shared" si="7"/>
        <v>4756.0392286023725</v>
      </c>
      <c r="AO22" s="140">
        <f t="shared" si="8"/>
        <v>43384.294099999999</v>
      </c>
      <c r="AP22" s="17"/>
      <c r="AQ22" s="17">
        <f t="shared" si="3"/>
        <v>87283.943024457825</v>
      </c>
      <c r="AR22" s="150">
        <f t="shared" si="4"/>
        <v>133734.07378379506</v>
      </c>
      <c r="AS22" s="174">
        <f t="shared" si="9"/>
        <v>3.6012870105647909E-2</v>
      </c>
      <c r="AT22" s="5"/>
      <c r="AU22" s="125"/>
    </row>
    <row r="23" spans="1:47" ht="11.25">
      <c r="A23" s="45" t="s">
        <v>64</v>
      </c>
      <c r="B23" s="103"/>
      <c r="C23" s="4"/>
      <c r="D23" s="17"/>
      <c r="E23" s="17">
        <f t="shared" ref="E23:E27" si="12">1327.60763928175*1.0099</f>
        <v>1340.7509549106392</v>
      </c>
      <c r="F23" s="17"/>
      <c r="G23" s="17"/>
      <c r="H23" s="17"/>
      <c r="I23" s="17">
        <f t="shared" ref="I23" si="13">973.371752249659*1.0099</f>
        <v>983.00813259693064</v>
      </c>
      <c r="J23" s="17"/>
      <c r="K23" s="17">
        <f t="shared" si="10"/>
        <v>1714.778756321982</v>
      </c>
      <c r="L23" s="17">
        <f>3898.2522908*1.0099</f>
        <v>3936.8449884789202</v>
      </c>
      <c r="M23" s="17"/>
      <c r="N23" s="17">
        <v>-4756.0066521810286</v>
      </c>
      <c r="O23" s="17"/>
      <c r="P23" s="140"/>
      <c r="Q23" s="17"/>
      <c r="R23" s="60">
        <f t="shared" si="0"/>
        <v>3219.3761801274441</v>
      </c>
      <c r="S23" s="106"/>
      <c r="T23" s="153">
        <f>-1470.48661143431*1.0099</f>
        <v>-1485.0444288875096</v>
      </c>
      <c r="U23" s="154">
        <f>-330.003243719967*1.0099</f>
        <v>-333.27027583279465</v>
      </c>
      <c r="V23" s="154">
        <f>-555.053653961413*1.0099</f>
        <v>-560.54868513563099</v>
      </c>
      <c r="W23" s="136">
        <f t="shared" si="6"/>
        <v>-2378.8633898559351</v>
      </c>
      <c r="X23" s="21"/>
      <c r="Y23" s="45" t="s">
        <v>64</v>
      </c>
      <c r="Z23" s="122">
        <v>2.7531383923540081E-2</v>
      </c>
      <c r="AA23" s="123">
        <v>4.3861575937514469E-2</v>
      </c>
      <c r="AB23" s="122">
        <v>3.8812785388127852E-2</v>
      </c>
      <c r="AC23" s="122">
        <v>4.3124275023149833E-2</v>
      </c>
      <c r="AD23" s="124">
        <v>3.2292418152461436E-2</v>
      </c>
      <c r="AE23" s="65">
        <f>SUM(Z23*'Översikt fördelning'!$C$30)</f>
        <v>38368.295827640184</v>
      </c>
      <c r="AF23" s="5">
        <f>SUM(AA23*'Översikt fördelning'!$C$31)</f>
        <v>10630.675322077512</v>
      </c>
      <c r="AG23" s="5">
        <f>SUM(AB23*'Översikt fördelning'!$C$32)</f>
        <v>7525.6050150950005</v>
      </c>
      <c r="AH23" s="5">
        <f>SUM(AC23*'Översikt fördelning'!$C$33)</f>
        <v>13587.56960765463</v>
      </c>
      <c r="AI23" s="5">
        <f>SUM(AD23*'Översikt fördelning'!$C$34)</f>
        <v>9000.6739661504289</v>
      </c>
      <c r="AJ23" s="66">
        <f t="shared" si="1"/>
        <v>79112.819738617764</v>
      </c>
      <c r="AL23" s="3" t="s">
        <v>64</v>
      </c>
      <c r="AM23" s="4">
        <f t="shared" si="2"/>
        <v>3219.3761801274441</v>
      </c>
      <c r="AN23" s="140">
        <f t="shared" si="7"/>
        <v>-2378.8633898559351</v>
      </c>
      <c r="AO23" s="140">
        <f t="shared" si="8"/>
        <v>43384.294099999999</v>
      </c>
      <c r="AP23" s="17">
        <v>3000</v>
      </c>
      <c r="AQ23" s="17">
        <f t="shared" si="3"/>
        <v>79112.819738617764</v>
      </c>
      <c r="AR23" s="150">
        <f t="shared" si="4"/>
        <v>126337.62662888927</v>
      </c>
      <c r="AS23" s="174">
        <f t="shared" si="9"/>
        <v>3.2641510021379758E-2</v>
      </c>
      <c r="AT23" s="5"/>
      <c r="AU23" s="125"/>
    </row>
    <row r="24" spans="1:47" ht="11.25">
      <c r="A24" s="45" t="s">
        <v>65</v>
      </c>
      <c r="B24" s="17">
        <v>5700</v>
      </c>
      <c r="C24" s="4"/>
      <c r="D24" s="17"/>
      <c r="E24" s="17">
        <f t="shared" si="12"/>
        <v>1340.7509549106392</v>
      </c>
      <c r="F24" s="17"/>
      <c r="G24" s="17"/>
      <c r="H24" s="17"/>
      <c r="I24" s="17">
        <f>1946.74350449932*1.0099</f>
        <v>1966.0162651938631</v>
      </c>
      <c r="J24" s="17">
        <f>2943.72750894768*1.0099</f>
        <v>2972.870411286262</v>
      </c>
      <c r="K24" s="17">
        <f t="shared" si="10"/>
        <v>1714.778756321982</v>
      </c>
      <c r="L24" s="17"/>
      <c r="M24" s="17"/>
      <c r="N24" s="17">
        <v>-9915.7961115141734</v>
      </c>
      <c r="O24" s="17"/>
      <c r="P24" s="140"/>
      <c r="Q24" s="17"/>
      <c r="R24" s="60">
        <f>SUM(B24:Q24)</f>
        <v>3778.6202761985733</v>
      </c>
      <c r="S24" s="106"/>
      <c r="T24" s="153">
        <f>1807.69039703508*1.0099</f>
        <v>1825.5865319657273</v>
      </c>
      <c r="U24" s="154">
        <f>248.389538283846*1.0099</f>
        <v>250.84859471285608</v>
      </c>
      <c r="V24" s="154">
        <f>593.293258514078*1.0099</f>
        <v>599.16686177336749</v>
      </c>
      <c r="W24" s="136">
        <f t="shared" si="6"/>
        <v>2675.601988451951</v>
      </c>
      <c r="X24" s="21"/>
      <c r="Y24" s="45" t="s">
        <v>65</v>
      </c>
      <c r="Z24" s="122">
        <v>2.3362551072364179E-2</v>
      </c>
      <c r="AA24" s="123">
        <v>5.1307134981922131E-2</v>
      </c>
      <c r="AB24" s="122">
        <v>2.5114155251141551E-2</v>
      </c>
      <c r="AC24" s="122">
        <v>5.9762860782996557E-2</v>
      </c>
      <c r="AD24" s="124">
        <v>3.1124394517159641E-2</v>
      </c>
      <c r="AE24" s="65">
        <f>SUM(Z24*'Översikt fördelning'!$C$30)</f>
        <v>32558.525692796389</v>
      </c>
      <c r="AF24" s="5">
        <f>SUM(AA24*'Översikt fördelning'!$C$31)</f>
        <v>12435.246158866757</v>
      </c>
      <c r="AG24" s="5">
        <f>SUM(AB24*'Översikt fördelning'!$C$32)</f>
        <v>4869.5091274144124</v>
      </c>
      <c r="AH24" s="5">
        <f>SUM(AC24*'Översikt fördelning'!$C$33)</f>
        <v>18830.044804361962</v>
      </c>
      <c r="AI24" s="5">
        <f>SUM(AD24*'Översikt fördelning'!$C$34)</f>
        <v>8675.1176737577534</v>
      </c>
      <c r="AJ24" s="66">
        <f t="shared" si="1"/>
        <v>77368.443457197267</v>
      </c>
      <c r="AL24" s="3" t="s">
        <v>65</v>
      </c>
      <c r="AM24" s="4">
        <f t="shared" si="2"/>
        <v>3778.6202761985733</v>
      </c>
      <c r="AN24" s="140">
        <f t="shared" si="7"/>
        <v>2675.601988451951</v>
      </c>
      <c r="AO24" s="140">
        <f t="shared" si="8"/>
        <v>43384.294099999999</v>
      </c>
      <c r="AP24" s="17">
        <v>400</v>
      </c>
      <c r="AQ24" s="17">
        <f t="shared" si="3"/>
        <v>77368.443457197267</v>
      </c>
      <c r="AR24" s="150">
        <f t="shared" si="4"/>
        <v>127606.95982184779</v>
      </c>
      <c r="AS24" s="174">
        <f t="shared" si="9"/>
        <v>3.1921790056155835E-2</v>
      </c>
      <c r="AT24" s="5"/>
      <c r="AU24" s="125"/>
    </row>
    <row r="25" spans="1:47" ht="11.25">
      <c r="A25" s="45" t="s">
        <v>66</v>
      </c>
      <c r="B25" s="103"/>
      <c r="C25" s="4"/>
      <c r="D25" s="17">
        <f>4264.50706097734*1.0099</f>
        <v>4306.7256808810162</v>
      </c>
      <c r="E25" s="17">
        <f t="shared" si="12"/>
        <v>1340.7509549106392</v>
      </c>
      <c r="F25" s="17">
        <f>5352.65959599277*1.0099</f>
        <v>5405.6509259930981</v>
      </c>
      <c r="G25" s="17"/>
      <c r="H25" s="17"/>
      <c r="I25" s="17"/>
      <c r="J25" s="17"/>
      <c r="K25" s="17">
        <f t="shared" si="10"/>
        <v>1714.778756321982</v>
      </c>
      <c r="L25" s="17"/>
      <c r="M25" s="17"/>
      <c r="N25" s="17">
        <v>-5290.273979710546</v>
      </c>
      <c r="O25" s="17"/>
      <c r="P25" s="140"/>
      <c r="Q25" s="17"/>
      <c r="R25" s="60">
        <f t="shared" si="0"/>
        <v>7477.6323383961899</v>
      </c>
      <c r="S25" s="106"/>
      <c r="T25" s="153">
        <f>-1807.69039703508*1.0099</f>
        <v>-1825.5865319657273</v>
      </c>
      <c r="U25" s="154">
        <f>-328.820436394806*1.0099</f>
        <v>-332.0757587151146</v>
      </c>
      <c r="V25" s="154">
        <f>-593.293258514078*1.0099</f>
        <v>-599.16686177336749</v>
      </c>
      <c r="W25" s="136">
        <f t="shared" si="6"/>
        <v>-2756.8291524542096</v>
      </c>
      <c r="X25" s="21"/>
      <c r="Y25" s="45" t="s">
        <v>66</v>
      </c>
      <c r="Z25" s="122">
        <v>1.2633934303235471E-2</v>
      </c>
      <c r="AA25" s="123">
        <v>0.12013769455490987</v>
      </c>
      <c r="AB25" s="122">
        <v>3.4246575342465752E-2</v>
      </c>
      <c r="AC25" s="122">
        <v>2.1845444141334932E-2</v>
      </c>
      <c r="AD25" s="124">
        <v>2.2364217252396165E-2</v>
      </c>
      <c r="AE25" s="65">
        <f>SUM(Z25*'Översikt fördelning'!$C$30)</f>
        <v>17606.907453680222</v>
      </c>
      <c r="AF25" s="5">
        <f>SUM(AA25*'Översikt fördelning'!$C$31)</f>
        <v>29117.622827223451</v>
      </c>
      <c r="AG25" s="5">
        <f>SUM(AB25*'Översikt fördelning'!$C$32)</f>
        <v>6640.2397192014714</v>
      </c>
      <c r="AH25" s="5">
        <f>SUM(AC25*'Översikt fördelning'!$C$33)</f>
        <v>6883.0488795736974</v>
      </c>
      <c r="AI25" s="5">
        <f>SUM(AD25*'Översikt fördelning'!$C$34)</f>
        <v>6233.4454808126911</v>
      </c>
      <c r="AJ25" s="66">
        <f t="shared" si="1"/>
        <v>66481.264360491536</v>
      </c>
      <c r="AL25" s="3" t="s">
        <v>66</v>
      </c>
      <c r="AM25" s="4">
        <f t="shared" si="2"/>
        <v>7477.6323383961899</v>
      </c>
      <c r="AN25" s="140">
        <f t="shared" si="7"/>
        <v>-2756.8291524542096</v>
      </c>
      <c r="AO25" s="140">
        <f t="shared" si="8"/>
        <v>43384.294099999999</v>
      </c>
      <c r="AP25" s="17">
        <v>834</v>
      </c>
      <c r="AQ25" s="17">
        <f t="shared" si="3"/>
        <v>66481.264360491536</v>
      </c>
      <c r="AR25" s="150">
        <f t="shared" si="4"/>
        <v>115420.36164643351</v>
      </c>
      <c r="AS25" s="174">
        <f t="shared" si="9"/>
        <v>2.7429800429647735E-2</v>
      </c>
      <c r="AT25" s="5"/>
      <c r="AU25" s="125"/>
    </row>
    <row r="26" spans="1:47" ht="11.25">
      <c r="A26" s="45" t="s">
        <v>67</v>
      </c>
      <c r="B26" s="103"/>
      <c r="C26" s="17"/>
      <c r="D26" s="17">
        <f>4538.68152641296*1.0099</f>
        <v>4583.6144735244488</v>
      </c>
      <c r="E26" s="17">
        <f t="shared" si="12"/>
        <v>1340.7509549106392</v>
      </c>
      <c r="F26" s="17">
        <f>5294.9511509188*1.0099</f>
        <v>5347.3711673128955</v>
      </c>
      <c r="G26" s="17"/>
      <c r="H26" s="17"/>
      <c r="I26" s="17">
        <f t="shared" ref="I26:I27" si="14">973.371752249659*1.0099</f>
        <v>983.00813259693064</v>
      </c>
      <c r="J26" s="17"/>
      <c r="K26" s="17">
        <f t="shared" si="10"/>
        <v>1714.778756321982</v>
      </c>
      <c r="L26" s="17"/>
      <c r="M26" s="17"/>
      <c r="N26" s="17">
        <v>-8229.7717182912165</v>
      </c>
      <c r="O26" s="17"/>
      <c r="P26" s="140"/>
      <c r="Q26" s="17"/>
      <c r="R26" s="60">
        <f t="shared" si="0"/>
        <v>5739.7517663756807</v>
      </c>
      <c r="S26" s="106"/>
      <c r="T26" s="153"/>
      <c r="U26" s="154">
        <f>-169.141447498048*1.0099</f>
        <v>-170.81594782827867</v>
      </c>
      <c r="V26" s="154">
        <f>-703.376968589933*1.0099</f>
        <v>-710.34040057897334</v>
      </c>
      <c r="W26" s="136">
        <f t="shared" si="6"/>
        <v>-881.15634840725204</v>
      </c>
      <c r="X26" s="21"/>
      <c r="Y26" s="45" t="s">
        <v>67</v>
      </c>
      <c r="Z26" s="122">
        <v>2.6268124434695207E-2</v>
      </c>
      <c r="AA26" s="123">
        <v>0.13159386900734896</v>
      </c>
      <c r="AB26" s="122">
        <v>6.1643835616438353E-2</v>
      </c>
      <c r="AC26" s="122">
        <v>5.1477288624670658E-2</v>
      </c>
      <c r="AD26" s="124">
        <v>3.6758390875674188E-2</v>
      </c>
      <c r="AE26" s="65">
        <f>SUM(Z26*'Översikt fördelning'!$C$30)</f>
        <v>36607.791745837334</v>
      </c>
      <c r="AF26" s="5">
        <f>SUM(AA26*'Översikt fördelning'!$C$31)</f>
        <v>31894.241506188784</v>
      </c>
      <c r="AG26" s="5">
        <f>SUM(AB26*'Översikt fördelning'!$C$32)</f>
        <v>11952.431494562648</v>
      </c>
      <c r="AH26" s="5">
        <f>SUM(AC26*'Översikt fördelning'!$C$33)</f>
        <v>16219.431909882853</v>
      </c>
      <c r="AI26" s="5">
        <f>SUM(AD26*'Översikt fördelning'!$C$34)</f>
        <v>10245.448025298892</v>
      </c>
      <c r="AJ26" s="66">
        <f t="shared" si="1"/>
        <v>106919.34468177051</v>
      </c>
      <c r="AL26" s="67" t="s">
        <v>67</v>
      </c>
      <c r="AM26" s="17">
        <f t="shared" si="2"/>
        <v>5739.7517663756807</v>
      </c>
      <c r="AN26" s="140">
        <f t="shared" si="7"/>
        <v>-881.15634840725204</v>
      </c>
      <c r="AO26" s="140">
        <f t="shared" si="8"/>
        <v>43384.294099999999</v>
      </c>
      <c r="AP26" s="17">
        <v>833</v>
      </c>
      <c r="AQ26" s="17">
        <f t="shared" si="3"/>
        <v>106919.34468177051</v>
      </c>
      <c r="AR26" s="150">
        <f t="shared" si="4"/>
        <v>155995.23419973894</v>
      </c>
      <c r="AS26" s="174">
        <f t="shared" si="9"/>
        <v>4.4114327771909406E-2</v>
      </c>
      <c r="AT26" s="5"/>
      <c r="AU26" s="125"/>
    </row>
    <row r="27" spans="1:47" ht="11.25">
      <c r="A27" s="45" t="s">
        <v>68</v>
      </c>
      <c r="B27" s="140">
        <v>300</v>
      </c>
      <c r="C27" s="17"/>
      <c r="D27" s="17">
        <f>6633.54017432122*1.0099</f>
        <v>6699.2122220470001</v>
      </c>
      <c r="E27" s="17">
        <f t="shared" si="12"/>
        <v>1340.7509549106392</v>
      </c>
      <c r="F27" s="17">
        <f>4735.89694963174*1.0099</f>
        <v>4782.7823294330947</v>
      </c>
      <c r="G27" s="17"/>
      <c r="H27" s="17"/>
      <c r="I27" s="17">
        <f t="shared" si="14"/>
        <v>983.00813259693064</v>
      </c>
      <c r="J27" s="17">
        <f>3510.87728898354*1.0099</f>
        <v>3545.6349741444769</v>
      </c>
      <c r="K27" s="17">
        <f t="shared" si="10"/>
        <v>1714.778756321982</v>
      </c>
      <c r="L27" s="17">
        <f>3898.2522908*1.0099</f>
        <v>3936.8449884789202</v>
      </c>
      <c r="M27" s="17">
        <f>3032.4*1.0099</f>
        <v>3062.42076</v>
      </c>
      <c r="N27" s="17">
        <v>-5249.1764929775063</v>
      </c>
      <c r="O27" s="17"/>
      <c r="P27" s="140">
        <v>22200</v>
      </c>
      <c r="Q27" s="17"/>
      <c r="R27" s="60">
        <f t="shared" si="0"/>
        <v>43316.256624955538</v>
      </c>
      <c r="S27" s="106"/>
      <c r="T27" s="153"/>
      <c r="U27" s="154">
        <f>275.594106762553*1.0099</f>
        <v>278.32248841950229</v>
      </c>
      <c r="V27" s="154">
        <f>703.376968589933*1.0099</f>
        <v>710.34040057897334</v>
      </c>
      <c r="W27" s="136">
        <f t="shared" si="6"/>
        <v>988.66288899847564</v>
      </c>
      <c r="X27" s="21"/>
      <c r="Y27" s="45" t="s">
        <v>68</v>
      </c>
      <c r="Z27" s="122">
        <v>2.3888749738574935E-2</v>
      </c>
      <c r="AA27" s="123">
        <v>0.23518220144556043</v>
      </c>
      <c r="AB27" s="122">
        <v>5.0228310502283102E-2</v>
      </c>
      <c r="AC27" s="122">
        <v>4.8815004625110972E-2</v>
      </c>
      <c r="AD27" s="124">
        <v>2.3996014978185442E-2</v>
      </c>
      <c r="AE27" s="65">
        <f>SUM(Z27*'Översikt fördelning'!$C$30)</f>
        <v>33291.846841684281</v>
      </c>
      <c r="AF27" s="5">
        <f>SUM(AA27*'Översikt fördelning'!$C$31)</f>
        <v>57000.816128013903</v>
      </c>
      <c r="AG27" s="5">
        <f>SUM(AB27*'Översikt fördelning'!$C$32)</f>
        <v>9739.0182548288249</v>
      </c>
      <c r="AH27" s="5">
        <f>SUM(AC27*'Översikt fördelning'!$C$33)</f>
        <v>15380.601132091373</v>
      </c>
      <c r="AI27" s="5">
        <f>SUM(AD27*'Översikt fördelning'!$C$34)</f>
        <v>6688.2667716553988</v>
      </c>
      <c r="AJ27" s="66">
        <f t="shared" si="1"/>
        <v>122100.54912827378</v>
      </c>
      <c r="AL27" s="67" t="s">
        <v>68</v>
      </c>
      <c r="AM27" s="17">
        <f t="shared" si="2"/>
        <v>43316.256624955538</v>
      </c>
      <c r="AN27" s="140">
        <f t="shared" si="7"/>
        <v>988.66288899847564</v>
      </c>
      <c r="AO27" s="140">
        <f t="shared" si="8"/>
        <v>43384.294099999999</v>
      </c>
      <c r="AP27" s="17">
        <v>833</v>
      </c>
      <c r="AQ27" s="17">
        <f t="shared" si="3"/>
        <v>122100.54912827378</v>
      </c>
      <c r="AR27" s="150">
        <f t="shared" si="4"/>
        <v>210622.76274222782</v>
      </c>
      <c r="AS27" s="174">
        <f t="shared" si="9"/>
        <v>5.037800840817501E-2</v>
      </c>
      <c r="AT27" s="5"/>
      <c r="AU27" s="125"/>
    </row>
    <row r="28" spans="1:47" ht="11.25">
      <c r="A28" s="68" t="s">
        <v>30</v>
      </c>
      <c r="B28" s="93">
        <f t="shared" ref="B28:Q28" si="15">SUM(B7:B27)</f>
        <v>67042.32919437495</v>
      </c>
      <c r="C28" s="73">
        <f t="shared" ref="C28" si="16">SUM(C7:C27)</f>
        <v>18000</v>
      </c>
      <c r="D28" s="93">
        <f t="shared" si="15"/>
        <v>15589.552376452466</v>
      </c>
      <c r="E28" s="69">
        <f t="shared" si="15"/>
        <v>13719.312096760041</v>
      </c>
      <c r="F28" s="69">
        <f t="shared" si="15"/>
        <v>15535.804422739089</v>
      </c>
      <c r="G28" s="69">
        <f t="shared" si="15"/>
        <v>20501.893326928443</v>
      </c>
      <c r="H28" s="69">
        <f t="shared" si="15"/>
        <v>0</v>
      </c>
      <c r="I28" s="69">
        <f t="shared" si="15"/>
        <v>17553.716653516622</v>
      </c>
      <c r="J28" s="69">
        <f t="shared" si="15"/>
        <v>8894.2607995783073</v>
      </c>
      <c r="K28" s="69">
        <f t="shared" si="15"/>
        <v>38582.522017244613</v>
      </c>
      <c r="L28" s="69">
        <f t="shared" si="15"/>
        <v>21449.267990734777</v>
      </c>
      <c r="M28" s="69">
        <f t="shared" si="15"/>
        <v>15312.103800000001</v>
      </c>
      <c r="N28" s="93">
        <f t="shared" si="15"/>
        <v>-99400.43628686665</v>
      </c>
      <c r="O28" s="93">
        <f t="shared" si="15"/>
        <v>1500</v>
      </c>
      <c r="P28" s="93">
        <f t="shared" si="15"/>
        <v>132000</v>
      </c>
      <c r="Q28" s="69">
        <f t="shared" si="15"/>
        <v>3000</v>
      </c>
      <c r="R28" s="145">
        <f t="shared" si="0"/>
        <v>289280.3263914627</v>
      </c>
      <c r="S28" s="106"/>
      <c r="T28" s="72">
        <f t="shared" ref="T28:V28" si="17">SUM(T7:T27)</f>
        <v>0</v>
      </c>
      <c r="U28" s="73">
        <f t="shared" si="17"/>
        <v>2.5011104298755527E-12</v>
      </c>
      <c r="V28" s="73">
        <f t="shared" si="17"/>
        <v>-1.4665602066088468E-11</v>
      </c>
      <c r="W28" s="138">
        <f t="shared" si="6"/>
        <v>-1.2164491636212915E-11</v>
      </c>
      <c r="X28" s="21"/>
      <c r="Y28" s="81" t="s">
        <v>30</v>
      </c>
      <c r="Z28" s="70">
        <f t="shared" ref="Z28:AD28" si="18">SUM(Z7:Z27)</f>
        <v>1</v>
      </c>
      <c r="AA28" s="70">
        <f t="shared" si="18"/>
        <v>1.0000000000000002</v>
      </c>
      <c r="AB28" s="70">
        <f t="shared" si="18"/>
        <v>1</v>
      </c>
      <c r="AC28" s="70">
        <f t="shared" si="18"/>
        <v>1.0000000000000002</v>
      </c>
      <c r="AD28" s="71">
        <f t="shared" si="18"/>
        <v>1</v>
      </c>
      <c r="AE28" s="72">
        <f t="shared" ref="AE28:AJ28" si="19">SUM(AE7:AE27)</f>
        <v>1393620.3110674084</v>
      </c>
      <c r="AF28" s="73">
        <f t="shared" si="19"/>
        <v>242368.74975085375</v>
      </c>
      <c r="AG28" s="73">
        <f t="shared" si="19"/>
        <v>193894.99980068294</v>
      </c>
      <c r="AH28" s="73">
        <f t="shared" si="19"/>
        <v>315079.37467610982</v>
      </c>
      <c r="AI28" s="73">
        <f t="shared" si="19"/>
        <v>278724.06221348175</v>
      </c>
      <c r="AJ28" s="74">
        <f t="shared" si="19"/>
        <v>2423687.497508538</v>
      </c>
      <c r="AL28" s="75" t="s">
        <v>69</v>
      </c>
      <c r="AM28" s="73">
        <f>SUM(AM7:AM27)</f>
        <v>289280.32639146264</v>
      </c>
      <c r="AN28" s="137">
        <f t="shared" ref="AN28:AQ28" si="20">SUM(AN7:AN27)</f>
        <v>-1.0118128557223827E-11</v>
      </c>
      <c r="AO28" s="137">
        <f t="shared" si="20"/>
        <v>911070.17610000051</v>
      </c>
      <c r="AP28" s="73">
        <f t="shared" si="20"/>
        <v>136400</v>
      </c>
      <c r="AQ28" s="73">
        <f t="shared" si="20"/>
        <v>2423687.497508538</v>
      </c>
      <c r="AR28" s="72">
        <f>SUM(AR7:AR27)</f>
        <v>3760437.9999999995</v>
      </c>
      <c r="AS28" s="175">
        <f t="shared" si="9"/>
        <v>1</v>
      </c>
      <c r="AT28" s="5"/>
    </row>
    <row r="29" spans="1:47" ht="12">
      <c r="A29" s="82" t="s">
        <v>6</v>
      </c>
      <c r="B29" s="82"/>
      <c r="C29" s="15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107"/>
      <c r="T29" s="82" t="s">
        <v>6</v>
      </c>
      <c r="U29" s="107"/>
      <c r="V29" s="107"/>
      <c r="W29" s="107"/>
      <c r="X29" s="21"/>
      <c r="Y29" s="82"/>
      <c r="Z29" s="76"/>
      <c r="AA29" s="76"/>
      <c r="AB29" s="76"/>
      <c r="AC29" s="76"/>
      <c r="AD29" s="76"/>
      <c r="AL29" s="82" t="s">
        <v>6</v>
      </c>
      <c r="AM29" s="15"/>
      <c r="AN29" s="15"/>
      <c r="AO29" s="15"/>
      <c r="AP29" s="15"/>
      <c r="AQ29" s="15"/>
      <c r="AR29" s="16"/>
      <c r="AS29" s="15"/>
      <c r="AT29" s="118"/>
    </row>
    <row r="30" spans="1:47">
      <c r="X30" s="21"/>
      <c r="Y30" s="21"/>
      <c r="Z30" s="7"/>
      <c r="AA30" s="7"/>
      <c r="AC30" s="7"/>
      <c r="AD30" s="7"/>
      <c r="AR30" s="92"/>
    </row>
    <row r="31" spans="1:47" ht="12.75" customHeight="1">
      <c r="C31" s="11"/>
      <c r="E31" s="99"/>
      <c r="R31" s="141"/>
      <c r="S31" s="141"/>
      <c r="T31" s="103"/>
      <c r="U31" s="142"/>
      <c r="V31" s="5"/>
      <c r="W31" s="5"/>
      <c r="X31" s="21"/>
      <c r="Y31" s="21"/>
      <c r="AC31" s="98"/>
      <c r="AD31" s="9"/>
      <c r="AL31" s="11"/>
      <c r="AM31" s="11"/>
      <c r="AN31" s="11"/>
      <c r="AO31" s="11"/>
      <c r="AP31" s="11"/>
      <c r="AQ31" s="18"/>
      <c r="AR31" s="18"/>
      <c r="AS31" s="18"/>
    </row>
    <row r="32" spans="1:47" ht="11.25" customHeight="1">
      <c r="C32" s="11"/>
      <c r="E32" s="100"/>
      <c r="R32" s="141"/>
      <c r="S32" s="141"/>
      <c r="T32" s="103"/>
      <c r="U32" s="142"/>
      <c r="V32" s="5"/>
      <c r="W32" s="5"/>
      <c r="X32" s="21"/>
      <c r="Y32" s="21"/>
      <c r="AC32" s="98"/>
      <c r="AD32" s="10"/>
      <c r="AL32" s="11"/>
      <c r="AM32" s="11"/>
      <c r="AN32" s="11"/>
      <c r="AO32" s="11"/>
      <c r="AP32" s="11"/>
      <c r="AQ32" s="19"/>
      <c r="AR32" s="18"/>
      <c r="AS32" s="11"/>
    </row>
    <row r="33" spans="1:45" ht="16.5" customHeight="1">
      <c r="B33" s="17"/>
      <c r="C33" s="11"/>
      <c r="E33" s="100"/>
      <c r="R33" s="141"/>
      <c r="S33" s="141"/>
      <c r="T33" s="103"/>
      <c r="U33" s="142"/>
      <c r="V33" s="5"/>
      <c r="W33" s="5"/>
      <c r="X33" s="21"/>
      <c r="Y33" s="21"/>
      <c r="AC33" s="98"/>
      <c r="AD33" s="10"/>
      <c r="AL33" s="11"/>
      <c r="AM33" s="11"/>
      <c r="AN33" s="11"/>
      <c r="AO33" s="11"/>
      <c r="AP33" s="11"/>
    </row>
    <row r="34" spans="1:45" ht="18">
      <c r="B34" s="19"/>
      <c r="C34" s="21"/>
      <c r="D34" s="100"/>
      <c r="E34" s="1"/>
      <c r="F34" s="23"/>
      <c r="Q34" s="141"/>
      <c r="R34" s="141"/>
      <c r="S34" s="103"/>
      <c r="T34" s="142"/>
      <c r="U34" s="5"/>
      <c r="V34" s="5"/>
      <c r="W34" s="21"/>
      <c r="X34" s="21"/>
      <c r="AB34" s="98"/>
      <c r="AC34" s="10"/>
      <c r="AE34" s="7"/>
      <c r="AF34" s="7"/>
      <c r="AG34" s="7"/>
      <c r="AH34" s="7"/>
      <c r="AI34" s="7"/>
      <c r="AJ34" s="7"/>
      <c r="AK34" s="19"/>
      <c r="AL34" s="19"/>
      <c r="AM34" s="19"/>
      <c r="AN34" s="19"/>
      <c r="AO34" s="19"/>
      <c r="AP34" s="19"/>
      <c r="AQ34" s="20"/>
      <c r="AR34" s="19"/>
    </row>
    <row r="35" spans="1:45" ht="18">
      <c r="B35" s="8"/>
      <c r="C35" s="21"/>
      <c r="D35" s="100"/>
      <c r="E35" s="1"/>
      <c r="F35" s="23"/>
      <c r="Q35" s="141"/>
      <c r="R35" s="141"/>
      <c r="S35" s="103"/>
      <c r="T35" s="142"/>
      <c r="U35" s="5"/>
      <c r="V35" s="5"/>
      <c r="W35" s="21"/>
      <c r="X35" s="21"/>
      <c r="AB35" s="98"/>
      <c r="AC35" s="10"/>
    </row>
    <row r="36" spans="1:45" ht="18">
      <c r="E36" s="100"/>
      <c r="R36" s="141"/>
      <c r="S36" s="141"/>
      <c r="T36" s="103"/>
      <c r="U36" s="142"/>
      <c r="V36" s="5"/>
      <c r="W36" s="5"/>
      <c r="X36" s="21"/>
      <c r="Y36" s="21"/>
      <c r="Z36" s="11"/>
      <c r="AC36" s="98"/>
      <c r="AD36" s="10"/>
    </row>
    <row r="37" spans="1:45">
      <c r="E37" s="95"/>
      <c r="F37" s="96"/>
      <c r="J37" s="17"/>
      <c r="R37" s="141"/>
      <c r="S37" s="141"/>
      <c r="T37" s="103"/>
      <c r="U37" s="142"/>
      <c r="V37" s="5"/>
      <c r="W37" s="5"/>
      <c r="X37" s="21"/>
      <c r="Y37" s="21"/>
      <c r="Z37" s="11"/>
      <c r="AC37" s="98"/>
      <c r="AD37" s="10"/>
    </row>
    <row r="38" spans="1:45">
      <c r="E38" s="95"/>
      <c r="F38" s="96"/>
      <c r="R38" s="141"/>
      <c r="S38" s="141"/>
      <c r="T38" s="103"/>
      <c r="U38" s="142"/>
      <c r="V38" s="5"/>
      <c r="W38" s="5"/>
      <c r="X38" s="21"/>
      <c r="Y38" s="21"/>
      <c r="AC38" s="98"/>
      <c r="AD38" s="10"/>
    </row>
    <row r="39" spans="1:45">
      <c r="R39" s="141"/>
      <c r="S39" s="141"/>
      <c r="T39" s="103"/>
      <c r="U39" s="142"/>
      <c r="V39" s="129"/>
      <c r="W39" s="5"/>
      <c r="X39" s="21"/>
      <c r="Y39" s="21"/>
      <c r="AC39" s="98"/>
      <c r="AD39" s="10"/>
    </row>
    <row r="40" spans="1:45">
      <c r="R40" s="141"/>
      <c r="S40" s="141"/>
      <c r="T40" s="103"/>
      <c r="U40" s="142"/>
      <c r="V40" s="129"/>
      <c r="W40" s="5"/>
      <c r="X40" s="21"/>
      <c r="Y40" s="21"/>
      <c r="Z40" s="12"/>
      <c r="AA40" s="13"/>
      <c r="AC40" s="98"/>
      <c r="AD40" s="10"/>
    </row>
    <row r="41" spans="1:45" s="7" customFormat="1">
      <c r="A41" s="21"/>
      <c r="B41" s="21"/>
      <c r="C41" s="8"/>
      <c r="D41" s="21"/>
      <c r="E41" s="21"/>
      <c r="F41" s="1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141"/>
      <c r="S41" s="141"/>
      <c r="T41" s="103"/>
      <c r="U41" s="142"/>
      <c r="V41" s="129"/>
      <c r="W41" s="5"/>
      <c r="X41" s="21"/>
      <c r="Y41" s="21"/>
      <c r="Z41" s="14"/>
      <c r="AA41" s="14"/>
      <c r="AB41" s="8"/>
      <c r="AC41" s="98"/>
      <c r="AD41" s="10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</row>
    <row r="42" spans="1:45">
      <c r="R42" s="141"/>
      <c r="S42" s="141"/>
      <c r="T42" s="103"/>
      <c r="U42" s="142"/>
      <c r="V42" s="129"/>
      <c r="W42" s="5"/>
      <c r="X42" s="21"/>
      <c r="Y42" s="21"/>
      <c r="AC42" s="98"/>
    </row>
    <row r="43" spans="1:45">
      <c r="R43" s="141"/>
      <c r="S43" s="141"/>
      <c r="T43" s="103"/>
      <c r="U43" s="142"/>
      <c r="V43" s="129"/>
      <c r="W43" s="5"/>
      <c r="X43" s="21"/>
      <c r="AC43" s="98"/>
    </row>
    <row r="44" spans="1:45" ht="15" customHeight="1">
      <c r="R44" s="141"/>
      <c r="S44" s="141"/>
      <c r="T44" s="103"/>
      <c r="U44" s="142"/>
      <c r="V44" s="129"/>
      <c r="W44" s="5"/>
      <c r="X44" s="21"/>
      <c r="AC44" s="98"/>
    </row>
    <row r="45" spans="1:45" ht="1.5" hidden="1" customHeight="1">
      <c r="R45" s="141"/>
      <c r="S45" s="141"/>
      <c r="T45" s="103"/>
      <c r="U45" s="142"/>
      <c r="V45" s="129"/>
      <c r="W45" s="5"/>
      <c r="X45" s="21"/>
      <c r="AC45" s="98">
        <v>3.1772988660181654E-2</v>
      </c>
    </row>
    <row r="46" spans="1:45">
      <c r="R46" s="141"/>
      <c r="S46" s="141"/>
      <c r="T46" s="103"/>
      <c r="U46" s="142"/>
      <c r="V46" s="129"/>
      <c r="W46" s="5"/>
      <c r="X46" s="21"/>
      <c r="AC46" s="98"/>
    </row>
    <row r="47" spans="1:45">
      <c r="R47" s="141"/>
      <c r="S47" s="141"/>
      <c r="T47" s="103"/>
      <c r="U47" s="142"/>
      <c r="V47" s="129"/>
      <c r="W47" s="5"/>
      <c r="X47" s="21"/>
      <c r="AC47" s="98"/>
    </row>
    <row r="48" spans="1:45">
      <c r="B48" s="8"/>
      <c r="R48" s="141"/>
      <c r="S48" s="141"/>
      <c r="T48" s="103"/>
      <c r="U48" s="142"/>
      <c r="V48" s="129"/>
      <c r="W48" s="5"/>
      <c r="X48" s="21"/>
      <c r="AC48" s="98"/>
    </row>
    <row r="49" spans="2:45" s="8" customFormat="1">
      <c r="R49" s="143"/>
      <c r="S49" s="143"/>
      <c r="T49" s="103"/>
      <c r="U49" s="142"/>
      <c r="V49" s="129"/>
      <c r="W49" s="5"/>
      <c r="AB49" s="98"/>
    </row>
    <row r="50" spans="2:45" s="8" customFormat="1">
      <c r="R50" s="143"/>
      <c r="S50" s="143"/>
      <c r="T50" s="103"/>
      <c r="U50" s="142"/>
      <c r="V50" s="129"/>
      <c r="W50" s="5"/>
      <c r="AB50" s="98"/>
    </row>
    <row r="51" spans="2:45" s="8" customFormat="1">
      <c r="R51" s="143"/>
      <c r="S51" s="143"/>
      <c r="T51" s="103"/>
      <c r="U51" s="142"/>
      <c r="V51" s="129"/>
      <c r="W51" s="5"/>
      <c r="AB51" s="98"/>
    </row>
    <row r="52" spans="2:45" s="8" customFormat="1">
      <c r="T52" s="23"/>
      <c r="U52" s="129"/>
      <c r="V52" s="129"/>
      <c r="W52" s="129"/>
    </row>
    <row r="53" spans="2:45" s="8" customFormat="1" ht="11.25">
      <c r="W53" s="21"/>
    </row>
    <row r="54" spans="2:45" s="8" customFormat="1" ht="11.25">
      <c r="W54" s="21"/>
    </row>
    <row r="55" spans="2:45" s="8" customFormat="1" ht="11.25">
      <c r="W55" s="21"/>
    </row>
    <row r="56" spans="2:45" s="8" customFormat="1" ht="11.25">
      <c r="B56" s="21"/>
      <c r="W56" s="21"/>
    </row>
    <row r="57" spans="2:45">
      <c r="W57" s="8"/>
      <c r="AP57" s="23"/>
      <c r="AS57" s="5"/>
    </row>
    <row r="58" spans="2:45">
      <c r="W58" s="8"/>
      <c r="AP58" s="23"/>
      <c r="AS58" s="5"/>
    </row>
    <row r="59" spans="2:45">
      <c r="W59" s="8"/>
      <c r="AP59" s="23"/>
      <c r="AS59" s="5"/>
    </row>
    <row r="60" spans="2:45">
      <c r="W60" s="8"/>
      <c r="AP60" s="23"/>
      <c r="AS60" s="5"/>
    </row>
    <row r="61" spans="2:45">
      <c r="W61" s="8"/>
      <c r="AP61" s="23"/>
      <c r="AS61" s="5"/>
    </row>
    <row r="62" spans="2:45">
      <c r="W62" s="8"/>
      <c r="AP62" s="23"/>
      <c r="AS62" s="5"/>
    </row>
    <row r="63" spans="2:45">
      <c r="W63" s="8"/>
      <c r="AP63" s="23"/>
      <c r="AS63" s="5"/>
    </row>
    <row r="64" spans="2:45">
      <c r="W64" s="8"/>
      <c r="AP64" s="23"/>
      <c r="AS64" s="5"/>
    </row>
    <row r="65" spans="23:45">
      <c r="W65" s="8"/>
      <c r="AP65" s="23"/>
      <c r="AS65" s="5"/>
    </row>
    <row r="66" spans="23:45">
      <c r="W66" s="8"/>
      <c r="AP66" s="23"/>
      <c r="AS66" s="5"/>
    </row>
    <row r="67" spans="23:45">
      <c r="W67" s="8"/>
      <c r="AP67" s="23"/>
      <c r="AS67" s="5"/>
    </row>
    <row r="68" spans="23:45">
      <c r="W68" s="8"/>
      <c r="AP68" s="23"/>
      <c r="AS68" s="5"/>
    </row>
    <row r="69" spans="23:45">
      <c r="W69" s="8"/>
      <c r="AP69" s="23"/>
      <c r="AS69" s="5"/>
    </row>
  </sheetData>
  <mergeCells count="6">
    <mergeCell ref="A3:A4"/>
    <mergeCell ref="Y3:AD4"/>
    <mergeCell ref="AE3:AJ4"/>
    <mergeCell ref="AL3:AQ4"/>
    <mergeCell ref="B3:R4"/>
    <mergeCell ref="T3:W4"/>
  </mergeCells>
  <pageMargins left="0.23622047244094491" right="0.23622047244094491" top="0.74803149606299213" bottom="0.74803149606299213" header="0.31496062992125984" footer="0.31496062992125984"/>
  <pageSetup paperSize="9" scale="75" fitToHeight="0" orientation="landscape" r:id="rId1"/>
  <headerFooter>
    <oddHeader>&amp;LBilaga 3 till regleringsbrev för budgetåret 2023 avseende länsstyrelserna</oddHeader>
    <oddFooter>&amp;RSida &amp;P av &amp;N</oddFooter>
  </headerFooter>
  <colBreaks count="2" manualBreakCount="2">
    <brk id="18" max="29" man="1"/>
    <brk id="37" max="29" man="1"/>
  </colBreak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?mso-contentType ?>
<SharedContentType xmlns="Microsoft.SharePoint.Taxonomy.ContentTypeSync" SourceId="d07acfae-4dfa-4949-99a8-259efd31a6ae" ContentTypeId="0x010100BBA312BF02777149882D207184EC35C032" PreviousValue="false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customXsn xmlns="http://schemas.microsoft.com/office/2006/metadata/customXsn">
  <xsnLocation/>
  <cached>True</cached>
  <openByDefault>False</openByDefault>
  <xsnScope/>
</customXsn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RK Word" ma:contentTypeID="0x010100BBA312BF02777149882D207184EC35C03200CF5593F4490C0D4196725A57CBAFD07F" ma:contentTypeVersion="44" ma:contentTypeDescription="Skapa nytt dokument med möjlighet att välja RK-mall" ma:contentTypeScope="" ma:versionID="64f1a685c7f918ba1f4516d2fad3c356">
  <xsd:schema xmlns:xsd="http://www.w3.org/2001/XMLSchema" xmlns:xs="http://www.w3.org/2001/XMLSchema" xmlns:p="http://schemas.microsoft.com/office/2006/metadata/properties" xmlns:ns2="4e9c2f0c-7bf8-49af-8356-cbf363fc78a7" xmlns:ns4="cc625d36-bb37-4650-91b9-0c96159295ba" xmlns:ns5="9c9941df-7074-4a92-bf99-225d24d78d61" xmlns:ns6="eec14d05-b663-4c4f-ba9e-f91ce218b26b" targetNamespace="http://schemas.microsoft.com/office/2006/metadata/properties" ma:root="true" ma:fieldsID="5bc56607b313810d5c3587c03b5982e3" ns2:_="" ns4:_="" ns5:_="" ns6:_="">
    <xsd:import namespace="4e9c2f0c-7bf8-49af-8356-cbf363fc78a7"/>
    <xsd:import namespace="cc625d36-bb37-4650-91b9-0c96159295ba"/>
    <xsd:import namespace="9c9941df-7074-4a92-bf99-225d24d78d61"/>
    <xsd:import namespace="eec14d05-b663-4c4f-ba9e-f91ce218b26b"/>
    <xsd:element name="properties">
      <xsd:complexType>
        <xsd:sequence>
          <xsd:element name="documentManagement">
            <xsd:complexType>
              <xsd:all>
                <xsd:element ref="ns2:DirtyMigration" minOccurs="0"/>
                <xsd:element ref="ns4:TaxCatchAllLabel" minOccurs="0"/>
                <xsd:element ref="ns4:k46d94c0acf84ab9a79866a9d8b1905f" minOccurs="0"/>
                <xsd:element ref="ns4:TaxCatchAll" minOccurs="0"/>
                <xsd:element ref="ns4:edbe0b5c82304c8e847ab7b8c02a77c3" minOccurs="0"/>
                <xsd:element ref="ns5:SharedWithUsers" minOccurs="0"/>
                <xsd:element ref="ns6:_dlc_DocId" minOccurs="0"/>
                <xsd:element ref="ns6:_dlc_DocIdUrl" minOccurs="0"/>
                <xsd:element ref="ns6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9c2f0c-7bf8-49af-8356-cbf363fc78a7" elementFormDefault="qualified">
    <xsd:import namespace="http://schemas.microsoft.com/office/2006/documentManagement/types"/>
    <xsd:import namespace="http://schemas.microsoft.com/office/infopath/2007/PartnerControls"/>
    <xsd:element name="DirtyMigration" ma:index="4" nillable="true" ma:displayName="Migrerad inte uppdaterad" ma:default="0" ma:internalName="DirtyMigration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625d36-bb37-4650-91b9-0c96159295ba" elementFormDefault="qualified">
    <xsd:import namespace="http://schemas.microsoft.com/office/2006/documentManagement/types"/>
    <xsd:import namespace="http://schemas.microsoft.com/office/infopath/2007/PartnerControls"/>
    <xsd:element name="TaxCatchAllLabel" ma:index="5" nillable="true" ma:displayName="Global taxonomikolumn1" ma:description="" ma:hidden="true" ma:list="{e1938cba-2959-43c3-a77f-283ab2a63118}" ma:internalName="TaxCatchAllLabel" ma:readOnly="true" ma:showField="CatchAllDataLabel" ma:web="4b1ee199-d7fd-46f7-a307-e08bcedd68a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k46d94c0acf84ab9a79866a9d8b1905f" ma:index="10" nillable="true" ma:taxonomy="true" ma:internalName="k46d94c0acf84ab9a79866a9d8b1905f" ma:taxonomyFieldName="Organisation" ma:displayName="Organisatorisk enhet" ma:default="" ma:fieldId="{446d94c0-acf8-4ab9-a798-66a9d8b1905f}" ma:sspId="d07acfae-4dfa-4949-99a8-259efd31a6ae" ma:termSetId="8c1436be-a8c9-4c8f-93bb-07dc2d5595b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2" nillable="true" ma:displayName="Taxonomy Catch All Column" ma:description="" ma:hidden="true" ma:list="{e1938cba-2959-43c3-a77f-283ab2a63118}" ma:internalName="TaxCatchAll" ma:showField="CatchAllData" ma:web="4b1ee199-d7fd-46f7-a307-e08bcedd68a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dbe0b5c82304c8e847ab7b8c02a77c3" ma:index="13" nillable="true" ma:taxonomy="true" ma:internalName="edbe0b5c82304c8e847ab7b8c02a77c3" ma:taxonomyFieldName="ActivityCategory" ma:displayName="Aktivitetskategori" ma:default="" ma:fieldId="{edbe0b5c-8230-4c8e-847a-b7b8c02a77c3}" ma:sspId="d07acfae-4dfa-4949-99a8-259efd31a6ae" ma:termSetId="8bf97125-e7b6-456b-9da4-c0e62cf3e5a7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9941df-7074-4a92-bf99-225d24d78d61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Delat med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c14d05-b663-4c4f-ba9e-f91ce218b26b" elementFormDefault="qualified">
    <xsd:import namespace="http://schemas.microsoft.com/office/2006/documentManagement/types"/>
    <xsd:import namespace="http://schemas.microsoft.com/office/infopath/2007/PartnerControls"/>
    <xsd:element name="_dlc_DocId" ma:index="16" nillable="true" ma:displayName="Dokument-ID-värde" ma:description="Värdet för dokument-ID som tilldelats till det här objektet." ma:internalName="_dlc_DocId" ma:readOnly="true">
      <xsd:simpleType>
        <xsd:restriction base="dms:Text"/>
      </xsd:simpleType>
    </xsd:element>
    <xsd:element name="_dlc_DocIdUrl" ma:index="17" nillable="true" ma:displayName="Dokument-ID" ma:description="Permanent länk till det här dokumente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8" nillable="true" ma:displayName="Spara ID" ma:description="Behåll ID vid tillägg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Innehållstyp"/>
        <xsd:element ref="dc:title" minOccurs="0" maxOccurs="1" ma:index="1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6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c625d36-bb37-4650-91b9-0c96159295ba"/>
    <edbe0b5c82304c8e847ab7b8c02a77c3 xmlns="cc625d36-bb37-4650-91b9-0c96159295ba">
      <Terms xmlns="http://schemas.microsoft.com/office/infopath/2007/PartnerControls"/>
    </edbe0b5c82304c8e847ab7b8c02a77c3>
    <DirtyMigration xmlns="4e9c2f0c-7bf8-49af-8356-cbf363fc78a7">false</DirtyMigration>
    <k46d94c0acf84ab9a79866a9d8b1905f xmlns="cc625d36-bb37-4650-91b9-0c96159295ba">
      <Terms xmlns="http://schemas.microsoft.com/office/infopath/2007/PartnerControls"/>
    </k46d94c0acf84ab9a79866a9d8b1905f>
    <_dlc_DocId xmlns="eec14d05-b663-4c4f-ba9e-f91ce218b26b">JMV6WU277ZYR-1834298216-36635</_dlc_DocId>
    <_dlc_DocIdUrl xmlns="eec14d05-b663-4c4f-ba9e-f91ce218b26b">
      <Url>https://dhs.sp.regeringskansliet.se/yta/fi-ofa/sfo/_layouts/15/DocIdRedir.aspx?ID=JMV6WU277ZYR-1834298216-36635</Url>
      <Description>JMV6WU277ZYR-1834298216-36635</Description>
    </_dlc_DocIdUrl>
  </documentManagement>
</p:properties>
</file>

<file path=customXml/itemProps1.xml><?xml version="1.0" encoding="utf-8"?>
<ds:datastoreItem xmlns:ds="http://schemas.openxmlformats.org/officeDocument/2006/customXml" ds:itemID="{31C9F119-DDE5-4C6B-92D1-D2DDDD05CD73}">
  <ds:schemaRefs>
    <ds:schemaRef ds:uri="Microsoft.SharePoint.Taxonomy.ContentTypeSync"/>
  </ds:schemaRefs>
</ds:datastoreItem>
</file>

<file path=customXml/itemProps2.xml><?xml version="1.0" encoding="utf-8"?>
<ds:datastoreItem xmlns:ds="http://schemas.openxmlformats.org/officeDocument/2006/customXml" ds:itemID="{A598A73B-AE04-440F-98EE-22473E716DE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EDB698-98B2-4C6F-9978-456290C38CC5}">
  <ds:schemaRefs>
    <ds:schemaRef ds:uri="http://schemas.microsoft.com/office/2006/metadata/customXsn"/>
  </ds:schemaRefs>
</ds:datastoreItem>
</file>

<file path=customXml/itemProps4.xml><?xml version="1.0" encoding="utf-8"?>
<ds:datastoreItem xmlns:ds="http://schemas.openxmlformats.org/officeDocument/2006/customXml" ds:itemID="{FBD4E00C-7B53-40BD-97D9-B767AA24BF5F}">
  <ds:schemaRefs>
    <ds:schemaRef ds:uri="http://schemas.microsoft.com/sharepoint/events"/>
  </ds:schemaRefs>
</ds:datastoreItem>
</file>

<file path=customXml/itemProps5.xml><?xml version="1.0" encoding="utf-8"?>
<ds:datastoreItem xmlns:ds="http://schemas.openxmlformats.org/officeDocument/2006/customXml" ds:itemID="{452FA11B-7233-47E3-8287-86AB4A6291B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e9c2f0c-7bf8-49af-8356-cbf363fc78a7"/>
    <ds:schemaRef ds:uri="cc625d36-bb37-4650-91b9-0c96159295ba"/>
    <ds:schemaRef ds:uri="9c9941df-7074-4a92-bf99-225d24d78d61"/>
    <ds:schemaRef ds:uri="eec14d05-b663-4c4f-ba9e-f91ce218b26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6.xml><?xml version="1.0" encoding="utf-8"?>
<ds:datastoreItem xmlns:ds="http://schemas.openxmlformats.org/officeDocument/2006/customXml" ds:itemID="{9B8D2156-5A19-4662-9644-6C41E2DC58EE}">
  <ds:schemaRefs>
    <ds:schemaRef ds:uri="eec14d05-b663-4c4f-ba9e-f91ce218b26b"/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4e9c2f0c-7bf8-49af-8356-cbf363fc78a7"/>
    <ds:schemaRef ds:uri="http://schemas.microsoft.com/office/2006/metadata/properties"/>
    <ds:schemaRef ds:uri="http://purl.org/dc/elements/1.1/"/>
    <ds:schemaRef ds:uri="http://purl.org/dc/terms/"/>
    <ds:schemaRef ds:uri="http://schemas.microsoft.com/office/infopath/2007/PartnerControls"/>
    <ds:schemaRef ds:uri="9c9941df-7074-4a92-bf99-225d24d78d61"/>
    <ds:schemaRef ds:uri="cc625d36-bb37-4650-91b9-0c96159295ba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2</vt:i4>
      </vt:variant>
      <vt:variant>
        <vt:lpstr>Namngivna områden</vt:lpstr>
      </vt:variant>
      <vt:variant>
        <vt:i4>2</vt:i4>
      </vt:variant>
    </vt:vector>
  </HeadingPairs>
  <TitlesOfParts>
    <vt:vector size="4" baseType="lpstr">
      <vt:lpstr>Översikt fördelning</vt:lpstr>
      <vt:lpstr>Riktade medel och parametrar</vt:lpstr>
      <vt:lpstr>'Riktade medel och parametrar'!Utskriftsområde</vt:lpstr>
      <vt:lpstr>'Översikt fördelning'!Utskriftsområde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Julia Hagberg</dc:creator>
  <cp:keywords/>
  <dc:description/>
  <cp:lastModifiedBy>Madeleine Ehlin</cp:lastModifiedBy>
  <cp:revision/>
  <cp:lastPrinted>2022-12-16T13:37:37Z</cp:lastPrinted>
  <dcterms:created xsi:type="dcterms:W3CDTF">2020-10-23T14:25:55Z</dcterms:created>
  <dcterms:modified xsi:type="dcterms:W3CDTF">2022-12-21T13:56:20Z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0x010100BBA312BF02777149882D207184EC35C03200CF5593F4490C0D4196725A57CBAFD07F</vt:lpwstr>
  </property>
  <property fmtid="{D5CDD505-2E9C-101B-9397-08002B2CF9AE}" pid="3" name="Organisation">
    <vt:lpwstr/>
  </property>
  <property fmtid="{D5CDD505-2E9C-101B-9397-08002B2CF9AE}" pid="4" name="ActivityCategory">
    <vt:lpwstr/>
  </property>
  <property fmtid="{D5CDD505-2E9C-101B-9397-08002B2CF9AE}" pid="5" name="_dlc_DocIdItemGuid">
    <vt:lpwstr>4f0f1150-a7ea-4e4c-9931-d9feda31e7a5</vt:lpwstr>
  </property>
</Properties>
</file>