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4/Fördelningsmodellen/Bilagor till Hermes till beslut RB24/"/>
    </mc:Choice>
  </mc:AlternateContent>
  <xr:revisionPtr revIDLastSave="0" documentId="13_ncr:1_{50C81AC6-2779-4220-A097-CB3EE63CD4AF}" xr6:coauthVersionLast="47" xr6:coauthVersionMax="47" xr10:uidLastSave="{00000000-0000-0000-0000-000000000000}"/>
  <bookViews>
    <workbookView xWindow="-120" yWindow="-120" windowWidth="29040" windowHeight="15840" tabRatio="694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parametrar'!$A$1:$AT$30</definedName>
    <definedName name="_xlnm.Print_Area" localSheetId="0">'Översikt fördelning'!$A$1:$F$38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2" l="1"/>
  <c r="V28" i="2" l="1"/>
  <c r="AO28" i="2" l="1"/>
  <c r="C5" i="4"/>
  <c r="AO27" i="2"/>
  <c r="AP28" i="2"/>
  <c r="AP26" i="2" l="1"/>
  <c r="AP8" i="2"/>
  <c r="AP23" i="2"/>
  <c r="AP24" i="2"/>
  <c r="AP27" i="2"/>
  <c r="AP21" i="2"/>
  <c r="AP20" i="2"/>
  <c r="B18" i="2" l="1"/>
  <c r="C17" i="4"/>
  <c r="C25" i="4" s="1"/>
  <c r="B20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7" i="2"/>
  <c r="F27" i="2" l="1"/>
  <c r="F26" i="2"/>
  <c r="F25" i="2"/>
  <c r="U21" i="2"/>
  <c r="U27" i="2"/>
  <c r="U26" i="2"/>
  <c r="U25" i="2" l="1"/>
  <c r="U24" i="2"/>
  <c r="U23" i="2"/>
  <c r="U22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T25" i="2"/>
  <c r="T24" i="2"/>
  <c r="T23" i="2"/>
  <c r="T22" i="2"/>
  <c r="T21" i="2"/>
  <c r="T20" i="2"/>
  <c r="T19" i="2"/>
  <c r="T16" i="2"/>
  <c r="T15" i="2"/>
  <c r="T14" i="2"/>
  <c r="T13" i="2"/>
  <c r="T12" i="2"/>
  <c r="T11" i="2"/>
  <c r="T10" i="2"/>
  <c r="T9" i="2"/>
  <c r="T8" i="2"/>
  <c r="T7" i="2"/>
  <c r="P14" i="2"/>
  <c r="P27" i="2"/>
  <c r="P20" i="2"/>
  <c r="P16" i="2"/>
  <c r="P10" i="2"/>
  <c r="P7" i="2"/>
  <c r="M18" i="2"/>
  <c r="M7" i="2"/>
  <c r="M27" i="2"/>
  <c r="M16" i="2"/>
  <c r="L27" i="2"/>
  <c r="L23" i="2"/>
  <c r="L18" i="2"/>
  <c r="L16" i="2"/>
  <c r="L7" i="2"/>
  <c r="K22" i="2"/>
  <c r="K23" i="2"/>
  <c r="K24" i="2"/>
  <c r="K25" i="2"/>
  <c r="K26" i="2"/>
  <c r="K27" i="2"/>
  <c r="K21" i="2"/>
  <c r="K20" i="2"/>
  <c r="K19" i="2"/>
  <c r="K17" i="2"/>
  <c r="K15" i="2"/>
  <c r="K14" i="2"/>
  <c r="K13" i="2"/>
  <c r="K12" i="2"/>
  <c r="K11" i="2"/>
  <c r="R11" i="2" s="1"/>
  <c r="K10" i="2"/>
  <c r="K9" i="2"/>
  <c r="K8" i="2"/>
  <c r="K18" i="2"/>
  <c r="K16" i="2"/>
  <c r="K7" i="2"/>
  <c r="J27" i="2"/>
  <c r="J24" i="2"/>
  <c r="J18" i="2"/>
  <c r="I18" i="2"/>
  <c r="I24" i="2"/>
  <c r="I13" i="2"/>
  <c r="I27" i="2"/>
  <c r="I26" i="2"/>
  <c r="I23" i="2"/>
  <c r="I17" i="2"/>
  <c r="I16" i="2"/>
  <c r="I15" i="2"/>
  <c r="I14" i="2"/>
  <c r="I10" i="2"/>
  <c r="I9" i="2"/>
  <c r="I8" i="2"/>
  <c r="I7" i="2"/>
  <c r="H16" i="2"/>
  <c r="H15" i="2"/>
  <c r="G18" i="2"/>
  <c r="G16" i="2"/>
  <c r="G7" i="2"/>
  <c r="E27" i="2"/>
  <c r="E26" i="2"/>
  <c r="E25" i="2"/>
  <c r="E24" i="2"/>
  <c r="E23" i="2"/>
  <c r="E22" i="2"/>
  <c r="E20" i="2"/>
  <c r="E19" i="2"/>
  <c r="E21" i="2"/>
  <c r="E18" i="2"/>
  <c r="E8" i="2"/>
  <c r="D27" i="2"/>
  <c r="D26" i="2"/>
  <c r="D25" i="2"/>
  <c r="D28" i="2" s="1"/>
  <c r="B14" i="2" l="1"/>
  <c r="B10" i="2"/>
  <c r="B7" i="2"/>
  <c r="B28" i="2" s="1"/>
  <c r="R19" i="2" l="1"/>
  <c r="R12" i="2" l="1"/>
  <c r="R17" i="2"/>
  <c r="R23" i="2"/>
  <c r="R22" i="2"/>
  <c r="R21" i="2"/>
  <c r="R10" i="2" l="1"/>
  <c r="R9" i="2"/>
  <c r="R14" i="2"/>
  <c r="R13" i="2"/>
  <c r="R25" i="2"/>
  <c r="R20" i="2"/>
  <c r="R27" i="2"/>
  <c r="R26" i="2"/>
  <c r="R8" i="2"/>
  <c r="R24" i="2"/>
  <c r="R15" i="2"/>
  <c r="W17" i="2"/>
  <c r="P28" i="2" l="1"/>
  <c r="W7" i="2" l="1"/>
  <c r="O28" i="2" l="1"/>
  <c r="W25" i="2" l="1"/>
  <c r="AN25" i="2" s="1"/>
  <c r="W11" i="2"/>
  <c r="AN11" i="2" s="1"/>
  <c r="C18" i="2"/>
  <c r="R18" i="2" s="1"/>
  <c r="C16" i="2"/>
  <c r="R16" i="2" l="1"/>
  <c r="C28" i="2"/>
  <c r="W14" i="2"/>
  <c r="AN14" i="2" s="1"/>
  <c r="W20" i="2"/>
  <c r="AN20" i="2" s="1"/>
  <c r="W27" i="2"/>
  <c r="AN27" i="2" s="1"/>
  <c r="W26" i="2"/>
  <c r="AN26" i="2" s="1"/>
  <c r="W24" i="2"/>
  <c r="AN24" i="2" s="1"/>
  <c r="W10" i="2"/>
  <c r="AN10" i="2" s="1"/>
  <c r="W13" i="2"/>
  <c r="AN13" i="2" s="1"/>
  <c r="W19" i="2"/>
  <c r="AN19" i="2" s="1"/>
  <c r="W8" i="2"/>
  <c r="AN8" i="2" s="1"/>
  <c r="W16" i="2"/>
  <c r="AN16" i="2" s="1"/>
  <c r="W22" i="2"/>
  <c r="AN22" i="2" s="1"/>
  <c r="W9" i="2"/>
  <c r="AN9" i="2" s="1"/>
  <c r="AN17" i="2"/>
  <c r="W23" i="2"/>
  <c r="AN23" i="2" s="1"/>
  <c r="W12" i="2"/>
  <c r="AN12" i="2" s="1"/>
  <c r="AN7" i="2"/>
  <c r="W15" i="2"/>
  <c r="AN15" i="2" s="1"/>
  <c r="W18" i="2"/>
  <c r="AN18" i="2" s="1"/>
  <c r="W21" i="2"/>
  <c r="AN21" i="2" s="1"/>
  <c r="T28" i="2"/>
  <c r="U28" i="2"/>
  <c r="AN28" i="2" l="1"/>
  <c r="W28" i="2"/>
  <c r="N28" i="2"/>
  <c r="AM10" i="2" l="1"/>
  <c r="AM21" i="2" l="1"/>
  <c r="AM8" i="2"/>
  <c r="AM11" i="2"/>
  <c r="M28" i="2" l="1"/>
  <c r="B31" i="4" l="1"/>
  <c r="AD28" i="2"/>
  <c r="AC28" i="2"/>
  <c r="AB28" i="2"/>
  <c r="AA28" i="2"/>
  <c r="Z28" i="2"/>
  <c r="H28" i="2" l="1"/>
  <c r="F28" i="2"/>
  <c r="G28" i="2"/>
  <c r="J28" i="2"/>
  <c r="E28" i="2"/>
  <c r="K28" i="2"/>
  <c r="L28" i="2"/>
  <c r="I28" i="2"/>
  <c r="AM25" i="2" l="1"/>
  <c r="AM9" i="2"/>
  <c r="AM20" i="2"/>
  <c r="AM13" i="2"/>
  <c r="AM12" i="2"/>
  <c r="AM23" i="2"/>
  <c r="AM16" i="2"/>
  <c r="AM17" i="2"/>
  <c r="AM15" i="2"/>
  <c r="AM27" i="2"/>
  <c r="AM19" i="2"/>
  <c r="AM22" i="2"/>
  <c r="AM14" i="2"/>
  <c r="AM26" i="2"/>
  <c r="AM24" i="2"/>
  <c r="AM18" i="2"/>
  <c r="Q28" i="2"/>
  <c r="R7" i="2"/>
  <c r="AM7" i="2" s="1"/>
  <c r="R28" i="2" l="1"/>
  <c r="AM28" i="2"/>
  <c r="C34" i="4" l="1"/>
  <c r="C33" i="4"/>
  <c r="C35" i="4"/>
  <c r="C32" i="4"/>
  <c r="AE25" i="2" s="1"/>
  <c r="C36" i="4"/>
  <c r="AG7" i="2" l="1"/>
  <c r="AG21" i="2"/>
  <c r="AG20" i="2"/>
  <c r="AG9" i="2"/>
  <c r="AG12" i="2"/>
  <c r="AG25" i="2"/>
  <c r="AG14" i="2"/>
  <c r="AG22" i="2"/>
  <c r="AG26" i="2"/>
  <c r="AG10" i="2"/>
  <c r="AG19" i="2"/>
  <c r="AG11" i="2"/>
  <c r="AG27" i="2"/>
  <c r="AG13" i="2"/>
  <c r="AG17" i="2"/>
  <c r="AG18" i="2"/>
  <c r="AG8" i="2"/>
  <c r="AG23" i="2"/>
  <c r="AG24" i="2"/>
  <c r="AG16" i="2"/>
  <c r="AG15" i="2"/>
  <c r="AI11" i="2"/>
  <c r="AI18" i="2"/>
  <c r="AI25" i="2"/>
  <c r="AI12" i="2"/>
  <c r="AI21" i="2"/>
  <c r="AI16" i="2"/>
  <c r="AI9" i="2"/>
  <c r="AI10" i="2"/>
  <c r="AI26" i="2"/>
  <c r="AI22" i="2"/>
  <c r="AI23" i="2"/>
  <c r="AI24" i="2"/>
  <c r="AI13" i="2"/>
  <c r="AI7" i="2"/>
  <c r="AI27" i="2"/>
  <c r="AI19" i="2"/>
  <c r="AI14" i="2"/>
  <c r="AI17" i="2"/>
  <c r="AI15" i="2"/>
  <c r="AI8" i="2"/>
  <c r="AI20" i="2"/>
  <c r="AE22" i="2"/>
  <c r="AE11" i="2"/>
  <c r="AE16" i="2"/>
  <c r="AE7" i="2"/>
  <c r="AE14" i="2"/>
  <c r="AE17" i="2"/>
  <c r="AE20" i="2"/>
  <c r="AE15" i="2"/>
  <c r="AE10" i="2"/>
  <c r="AE19" i="2"/>
  <c r="AE9" i="2"/>
  <c r="AE24" i="2"/>
  <c r="AE18" i="2"/>
  <c r="C31" i="4"/>
  <c r="AE8" i="2"/>
  <c r="AE23" i="2"/>
  <c r="AE27" i="2"/>
  <c r="AE12" i="2"/>
  <c r="AE13" i="2"/>
  <c r="AE21" i="2"/>
  <c r="AE26" i="2"/>
  <c r="AH21" i="2"/>
  <c r="AH18" i="2"/>
  <c r="AH8" i="2"/>
  <c r="AH7" i="2"/>
  <c r="AH25" i="2"/>
  <c r="AH12" i="2"/>
  <c r="AH19" i="2"/>
  <c r="AH13" i="2"/>
  <c r="AH14" i="2"/>
  <c r="AH23" i="2"/>
  <c r="AH26" i="2"/>
  <c r="AH10" i="2"/>
  <c r="AH15" i="2"/>
  <c r="AH11" i="2"/>
  <c r="AH24" i="2"/>
  <c r="AH17" i="2"/>
  <c r="AH16" i="2"/>
  <c r="AH9" i="2"/>
  <c r="AH20" i="2"/>
  <c r="AH27" i="2"/>
  <c r="AH22" i="2"/>
  <c r="AF9" i="2"/>
  <c r="AF25" i="2"/>
  <c r="AF11" i="2"/>
  <c r="AF21" i="2"/>
  <c r="AF27" i="2"/>
  <c r="AF15" i="2"/>
  <c r="AF26" i="2"/>
  <c r="AF20" i="2"/>
  <c r="AF18" i="2"/>
  <c r="AF24" i="2"/>
  <c r="AF7" i="2"/>
  <c r="AF17" i="2"/>
  <c r="AF19" i="2"/>
  <c r="AF14" i="2"/>
  <c r="AF23" i="2"/>
  <c r="AF10" i="2"/>
  <c r="AF12" i="2"/>
  <c r="AF16" i="2"/>
  <c r="AF13" i="2"/>
  <c r="AF22" i="2"/>
  <c r="AF8" i="2"/>
  <c r="AJ18" i="2" l="1"/>
  <c r="AQ18" i="2" s="1"/>
  <c r="AR18" i="2" s="1"/>
  <c r="AE28" i="2"/>
  <c r="AJ10" i="2"/>
  <c r="AQ10" i="2" s="1"/>
  <c r="AR10" i="2" s="1"/>
  <c r="AJ20" i="2"/>
  <c r="AQ20" i="2" s="1"/>
  <c r="AR20" i="2" s="1"/>
  <c r="AJ21" i="2"/>
  <c r="AQ21" i="2" s="1"/>
  <c r="AR21" i="2" s="1"/>
  <c r="AJ25" i="2"/>
  <c r="AQ25" i="2" s="1"/>
  <c r="AR25" i="2" s="1"/>
  <c r="AJ14" i="2"/>
  <c r="AQ14" i="2" s="1"/>
  <c r="AJ17" i="2"/>
  <c r="AQ17" i="2" s="1"/>
  <c r="AJ24" i="2"/>
  <c r="AQ24" i="2" s="1"/>
  <c r="AJ12" i="2"/>
  <c r="AQ12" i="2" s="1"/>
  <c r="AJ9" i="2"/>
  <c r="AQ9" i="2" s="1"/>
  <c r="AJ16" i="2"/>
  <c r="AQ16" i="2" s="1"/>
  <c r="AJ13" i="2"/>
  <c r="AQ13" i="2" s="1"/>
  <c r="AJ7" i="2"/>
  <c r="AH28" i="2"/>
  <c r="AJ27" i="2"/>
  <c r="AQ27" i="2" s="1"/>
  <c r="AJ19" i="2"/>
  <c r="AQ19" i="2" s="1"/>
  <c r="AJ11" i="2"/>
  <c r="AQ11" i="2" s="1"/>
  <c r="AF28" i="2"/>
  <c r="AJ26" i="2"/>
  <c r="AQ26" i="2" s="1"/>
  <c r="AR26" i="2" s="1"/>
  <c r="AJ23" i="2"/>
  <c r="AQ23" i="2" s="1"/>
  <c r="AJ22" i="2"/>
  <c r="AQ22" i="2" s="1"/>
  <c r="AI28" i="2"/>
  <c r="AJ8" i="2"/>
  <c r="AQ8" i="2" s="1"/>
  <c r="AJ15" i="2"/>
  <c r="AQ15" i="2" s="1"/>
  <c r="AG28" i="2"/>
  <c r="AJ28" i="2" l="1"/>
  <c r="AR19" i="2"/>
  <c r="AR9" i="2"/>
  <c r="AR27" i="2"/>
  <c r="AR11" i="2"/>
  <c r="AR16" i="2"/>
  <c r="AR12" i="2"/>
  <c r="AR22" i="2"/>
  <c r="AQ7" i="2"/>
  <c r="AR24" i="2"/>
  <c r="AR15" i="2"/>
  <c r="AR23" i="2"/>
  <c r="AR17" i="2"/>
  <c r="AR8" i="2"/>
  <c r="AR13" i="2"/>
  <c r="AR14" i="2"/>
  <c r="AQ28" i="2" l="1"/>
  <c r="AR7" i="2"/>
  <c r="AR28" i="2" s="1"/>
  <c r="AT9" i="2" l="1"/>
  <c r="AT21" i="2"/>
  <c r="AS7" i="2"/>
  <c r="AT7" i="2"/>
  <c r="AT11" i="2"/>
  <c r="AT18" i="2"/>
  <c r="AT20" i="2"/>
  <c r="AT10" i="2"/>
  <c r="AT19" i="2"/>
  <c r="AT17" i="2"/>
  <c r="AT14" i="2"/>
  <c r="AT16" i="2"/>
  <c r="AT24" i="2"/>
  <c r="AT25" i="2"/>
  <c r="AT15" i="2"/>
  <c r="AT27" i="2"/>
  <c r="AT22" i="2"/>
  <c r="AT23" i="2"/>
  <c r="AT8" i="2"/>
  <c r="AT12" i="2"/>
  <c r="AT26" i="2"/>
  <c r="AT13" i="2"/>
  <c r="AS25" i="2" l="1"/>
  <c r="AS18" i="2"/>
  <c r="AS26" i="2"/>
  <c r="AS10" i="2"/>
  <c r="AS20" i="2"/>
  <c r="AS27" i="2"/>
  <c r="AS13" i="2"/>
  <c r="AS22" i="2"/>
  <c r="AS8" i="2"/>
  <c r="AS23" i="2"/>
  <c r="AS19" i="2"/>
  <c r="AS21" i="2"/>
  <c r="AS15" i="2"/>
  <c r="AS17" i="2"/>
  <c r="AS11" i="2"/>
  <c r="AS16" i="2"/>
  <c r="AS24" i="2"/>
  <c r="AS9" i="2"/>
  <c r="AS12" i="2"/>
  <c r="AS14" i="2"/>
  <c r="AT28" i="2"/>
  <c r="AS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tc={93361EE0-AF32-4976-B862-9855EE446018}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</t>
      </text>
    </comment>
    <comment ref="B24" authorId="5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<sst xmlns="http://schemas.openxmlformats.org/spreadsheetml/2006/main" count="190" uniqueCount="109">
  <si>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</si>
  <si>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</si>
  <si>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</si>
  <si>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</si>
  <si>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</si>
  <si>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</si>
  <si>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</si>
  <si>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</si>
  <si>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</si>
  <si>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</si>
  <si>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</si>
  <si>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</si>
  <si>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</si>
  <si>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</si>
  <si>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</si>
  <si>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</si>
  <si>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</si>
  <si>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</si>
  <si>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</si>
  <si>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</si>
  <si>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</si>
  <si>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</si>
  <si>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</si>
  <si>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</si>
  <si>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</si>
  <si>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</si>
  <si>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</si>
  <si>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</si>
  <si>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</si>
  <si>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</si>
  <si>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</si>
  <si>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</si>
  <si>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</si>
  <si>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</si>
  <si>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</si>
  <si>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</si>
  <si>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</si>
  <si>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</si>
  <si>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</si>
  <si>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</si>
  <si>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</si>
  <si>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</si>
  <si>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</si>
  <si>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</si>
  <si>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</si>
  <si>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</si>
  <si>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</si>
  <si>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</si>
  <si>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</si>
  <si>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</si>
  <si>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</si>
  <si>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</si>
  <si>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</si>
  <si>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</si>
  <si>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</si>
  <si>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</si>
  <si>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</si>
  <si>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</si>
  <si>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</si>
  <si>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</si>
  <si>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</si>
  <si>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</si>
  <si>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</si>
  <si>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</si>
  <si>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</si>
  <si>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</si>
  <si>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</si>
  <si>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</si>
  <si>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</si>
  <si>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</si>
  <si>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</si>
  <si>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</si>
  <si>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</si>
  <si>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</si>
  <si>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</si>
  <si>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</si>
  <si>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>Vissa PLO</t>
  </si>
  <si>
    <t xml:space="preserve">Effektiv tillsyn och prövning, Västernorrland </t>
  </si>
  <si>
    <t>Ny struktur civilt försvar BP23</t>
  </si>
  <si>
    <t>Regeringsuppdrag digitalisering strandskydd FO, Västmanland</t>
  </si>
  <si>
    <t>Regeringsuppdrag digitalisering strandskydd, Uppsala</t>
  </si>
  <si>
    <t>Statlig service och närvaro, Örebro</t>
  </si>
  <si>
    <t>Andel fem parametrar</t>
  </si>
  <si>
    <t>RB23</t>
  </si>
  <si>
    <t>BP23</t>
  </si>
  <si>
    <t>BP22</t>
  </si>
  <si>
    <t>Konsultationsordning, Jämtland, Västerbotten och Norrbotten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</si>
  <si>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</si>
  <si>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</si>
  <si>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</si>
  <si>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</si>
  <si>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</si>
  <si>
    <t>Miljöavgift</t>
  </si>
  <si>
    <t>Folkmängd</t>
  </si>
  <si>
    <t>Tillfälliga riktade medel</t>
  </si>
  <si>
    <t>Justering maa slopad avgift för årlig revision BP24</t>
  </si>
  <si>
    <t>RB24</t>
  </si>
  <si>
    <t>44,75 mnkr/länsstyrelse</t>
  </si>
  <si>
    <t>Satsning norra Sverige, Norrbotten och Västerbotten</t>
  </si>
  <si>
    <t>BP24</t>
  </si>
  <si>
    <t>BP23, BP24</t>
  </si>
  <si>
    <t>Samordning uppdrag prövning enligt miljöbalken, Västra Götaland</t>
  </si>
  <si>
    <t>Samordning uppdrag tillsyn enligt miljöbalken, Västernorrland</t>
  </si>
  <si>
    <t>Redovisning av underskott inom djurskyddsområdet, Södermanland</t>
  </si>
  <si>
    <t>Uppdrag information om överklaganden, Gävleborg</t>
  </si>
  <si>
    <t>Fördelning anslag 5:1 Länsstyrelserna m.m. för 2024 - Översikt</t>
  </si>
  <si>
    <t>Anslag 5:1 Länsstyrelserna m.m., 2024</t>
  </si>
  <si>
    <t>Del av förstärkning civilt försvar, kärnkraftslän 2024</t>
  </si>
  <si>
    <t>Prövning A-ärenden, Västerbotten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</si>
</sst>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4" fillId="0" borderId="0"/>
    <xf numFmtId="0" fontId="28" fillId="0" borderId="0"/>
  </cellStyleXfs>
  <cellXfs count="216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3" fontId="2" fillId="2" borderId="0" xfId="2" applyNumberFormat="1" applyFill="1"/>
    <xf numFmtId="0" fontId="26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8" fillId="0" borderId="4" xfId="2" applyNumberFormat="1" applyFont="1" applyFill="1" applyBorder="1" applyAlignment="1">
      <alignment horizontal="right"/>
    </xf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5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8" fillId="0" borderId="8" xfId="2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8" fillId="2" borderId="14" xfId="0" applyFont="1" applyFill="1" applyBorder="1" applyAlignment="1">
      <alignment horizontal="right"/>
    </xf>
    <xf numFmtId="3" fontId="18" fillId="2" borderId="0" xfId="0" applyNumberFormat="1" applyFont="1" applyFill="1" applyBorder="1"/>
    <xf numFmtId="3" fontId="6" fillId="4" borderId="9" xfId="2" applyNumberFormat="1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0" fontId="8" fillId="2" borderId="16" xfId="2" applyFont="1" applyFill="1" applyBorder="1" applyAlignment="1">
      <alignment horizontal="center" vertical="top"/>
    </xf>
    <xf numFmtId="0" fontId="8" fillId="2" borderId="20" xfId="2" applyFont="1" applyFill="1" applyBorder="1"/>
    <xf numFmtId="0" fontId="8" fillId="2" borderId="2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3" fontId="8" fillId="2" borderId="11" xfId="2" applyNumberFormat="1" applyFont="1" applyFill="1" applyBorder="1" applyAlignment="1">
      <alignment horizontal="right"/>
    </xf>
    <xf numFmtId="10" fontId="3" fillId="0" borderId="6" xfId="1" applyNumberFormat="1" applyFont="1" applyFill="1" applyBorder="1" applyAlignment="1">
      <alignment horizontal="right"/>
    </xf>
    <xf numFmtId="9" fontId="8" fillId="0" borderId="2" xfId="1" applyFont="1" applyFill="1" applyBorder="1"/>
    <xf numFmtId="9" fontId="8" fillId="0" borderId="1" xfId="1" applyFont="1" applyFill="1" applyBorder="1"/>
    <xf numFmtId="173" fontId="8" fillId="0" borderId="20" xfId="2" applyNumberFormat="1" applyFont="1" applyFill="1" applyBorder="1"/>
    <xf numFmtId="3" fontId="3" fillId="2" borderId="0" xfId="2" applyNumberFormat="1" applyFont="1" applyFill="1" applyBorder="1" applyAlignment="1">
      <alignment horizontal="left"/>
    </xf>
    <xf numFmtId="3" fontId="3" fillId="2" borderId="0" xfId="2" applyNumberFormat="1" applyFont="1" applyFill="1" applyAlignment="1">
      <alignment horizontal="left" indent="5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173" fontId="3" fillId="2" borderId="0" xfId="2" applyNumberFormat="1" applyFont="1" applyFill="1" applyBorder="1"/>
    <xf numFmtId="0" fontId="8" fillId="0" borderId="20" xfId="2" applyFont="1" applyFill="1" applyBorder="1" applyAlignment="1">
      <alignment horizontal="center" vertical="center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</cellXfs>
  <cellStyles count="7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G52"/>
  <sheetViews>
    <sheetView tabSelected="1" zoomScaleNormal="100" workbookViewId="0">
      <selection activeCell="H25" sqref="H25"/>
    </sheetView>
  </sheetViews>
  <sheetFormatPr defaultColWidth="9.140625" defaultRowHeight="1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7.8554687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7" ht="23.25">
      <c r="A1" s="22" t="s">
        <v>105</v>
      </c>
      <c r="B1" s="23"/>
      <c r="C1" s="23"/>
      <c r="D1" s="23"/>
      <c r="E1" s="23"/>
    </row>
    <row r="2" spans="1:7" ht="15.75" thickBot="1">
      <c r="A2" s="23"/>
      <c r="B2" s="23"/>
      <c r="C2" s="23"/>
      <c r="D2" s="23"/>
      <c r="E2" s="23"/>
    </row>
    <row r="3" spans="1:7" ht="15.75">
      <c r="A3" s="137" t="s">
        <v>106</v>
      </c>
      <c r="B3" s="138"/>
      <c r="C3" s="164">
        <v>3867590</v>
      </c>
      <c r="D3" s="139" t="s">
        <v>68</v>
      </c>
      <c r="E3" s="116"/>
    </row>
    <row r="4" spans="1:7">
      <c r="A4" s="25" t="s">
        <v>0</v>
      </c>
      <c r="B4" s="126"/>
      <c r="C4" s="126"/>
      <c r="D4" s="27"/>
      <c r="E4" s="81"/>
    </row>
    <row r="5" spans="1:7">
      <c r="A5" s="193" t="s">
        <v>1</v>
      </c>
      <c r="B5" s="194"/>
      <c r="C5" s="141">
        <f>-'Riktade medel och parametrar'!R28</f>
        <v>-397121.47252425516</v>
      </c>
      <c r="D5" s="143"/>
      <c r="E5" s="82"/>
    </row>
    <row r="6" spans="1:7">
      <c r="A6" s="193" t="s">
        <v>2</v>
      </c>
      <c r="B6" s="194"/>
      <c r="C6" s="141">
        <v>-939729.71062957705</v>
      </c>
      <c r="D6" s="144" t="s">
        <v>97</v>
      </c>
      <c r="E6" s="145"/>
    </row>
    <row r="7" spans="1:7">
      <c r="A7" s="193" t="s">
        <v>74</v>
      </c>
      <c r="B7" s="194"/>
      <c r="C7" s="141">
        <v>-100</v>
      </c>
      <c r="D7" s="144" t="s">
        <v>96</v>
      </c>
      <c r="E7" s="90"/>
    </row>
    <row r="8" spans="1:7">
      <c r="A8" s="193" t="s">
        <v>3</v>
      </c>
      <c r="B8" s="194"/>
      <c r="C8" s="140">
        <v>-30000</v>
      </c>
      <c r="D8" s="144" t="s">
        <v>96</v>
      </c>
      <c r="E8" s="83"/>
    </row>
    <row r="9" spans="1:7" ht="15.75" customHeight="1">
      <c r="A9" s="193" t="s">
        <v>4</v>
      </c>
      <c r="B9" s="194"/>
      <c r="C9" s="141">
        <v>-1000</v>
      </c>
      <c r="D9" s="144" t="s">
        <v>96</v>
      </c>
      <c r="E9" s="83"/>
    </row>
    <row r="10" spans="1:7">
      <c r="A10" s="195" t="s">
        <v>91</v>
      </c>
      <c r="B10" s="196"/>
      <c r="C10" s="142">
        <v>-2600</v>
      </c>
      <c r="D10" s="144" t="s">
        <v>83</v>
      </c>
      <c r="E10" s="83"/>
      <c r="G10" s="114"/>
    </row>
    <row r="11" spans="1:7">
      <c r="A11" s="195" t="s">
        <v>77</v>
      </c>
      <c r="B11" s="196"/>
      <c r="C11" s="142">
        <v>-400</v>
      </c>
      <c r="D11" s="144" t="s">
        <v>96</v>
      </c>
      <c r="E11" s="83"/>
      <c r="F11" s="134"/>
    </row>
    <row r="12" spans="1:7">
      <c r="A12" s="195" t="s">
        <v>81</v>
      </c>
      <c r="B12" s="196"/>
      <c r="C12" s="142">
        <v>-200</v>
      </c>
      <c r="D12" s="144" t="s">
        <v>96</v>
      </c>
      <c r="E12" s="83"/>
    </row>
    <row r="13" spans="1:7">
      <c r="A13" s="195" t="s">
        <v>86</v>
      </c>
      <c r="B13" s="196"/>
      <c r="C13" s="142">
        <v>-2500</v>
      </c>
      <c r="D13" s="144" t="s">
        <v>84</v>
      </c>
      <c r="E13" s="83"/>
    </row>
    <row r="14" spans="1:7">
      <c r="A14" s="195" t="s">
        <v>87</v>
      </c>
      <c r="B14" s="196"/>
      <c r="C14" s="142">
        <v>-15000</v>
      </c>
      <c r="D14" s="144" t="s">
        <v>84</v>
      </c>
      <c r="E14" s="83"/>
    </row>
    <row r="15" spans="1:7">
      <c r="A15" s="195" t="s">
        <v>79</v>
      </c>
      <c r="B15" s="196"/>
      <c r="C15" s="142">
        <v>-750</v>
      </c>
      <c r="D15" s="144" t="s">
        <v>85</v>
      </c>
      <c r="E15" s="83"/>
    </row>
    <row r="16" spans="1:7">
      <c r="A16" s="195" t="s">
        <v>80</v>
      </c>
      <c r="B16" s="196"/>
      <c r="C16" s="142">
        <v>-1000</v>
      </c>
      <c r="D16" s="144" t="s">
        <v>85</v>
      </c>
      <c r="E16" s="83"/>
    </row>
    <row r="17" spans="1:6">
      <c r="A17" s="195" t="s">
        <v>88</v>
      </c>
      <c r="B17" s="196"/>
      <c r="C17" s="142">
        <f>-3000-2400</f>
        <v>-5400</v>
      </c>
      <c r="D17" s="144" t="s">
        <v>100</v>
      </c>
      <c r="E17" s="83"/>
    </row>
    <row r="18" spans="1:6" ht="15.75" customHeight="1">
      <c r="A18" s="193" t="s">
        <v>104</v>
      </c>
      <c r="B18" s="194"/>
      <c r="C18" s="141">
        <v>-300</v>
      </c>
      <c r="D18" s="144" t="s">
        <v>96</v>
      </c>
      <c r="E18" s="83"/>
    </row>
    <row r="19" spans="1:6" ht="15.75" customHeight="1">
      <c r="A19" s="193" t="s">
        <v>103</v>
      </c>
      <c r="B19" s="194"/>
      <c r="C19" s="141">
        <v>-200</v>
      </c>
      <c r="D19" s="144" t="s">
        <v>96</v>
      </c>
      <c r="E19" s="83"/>
    </row>
    <row r="20" spans="1:6" ht="15.75" customHeight="1">
      <c r="A20" s="193" t="s">
        <v>101</v>
      </c>
      <c r="B20" s="194"/>
      <c r="C20" s="141">
        <v>-1000</v>
      </c>
      <c r="D20" s="144" t="s">
        <v>96</v>
      </c>
      <c r="E20" s="83"/>
    </row>
    <row r="21" spans="1:6" ht="15.75" customHeight="1">
      <c r="A21" s="199" t="s">
        <v>102</v>
      </c>
      <c r="B21" s="200"/>
      <c r="C21" s="141">
        <v>-1000</v>
      </c>
      <c r="D21" s="144" t="s">
        <v>96</v>
      </c>
      <c r="E21" s="83"/>
    </row>
    <row r="22" spans="1:6" ht="15.75" customHeight="1">
      <c r="A22" s="199" t="s">
        <v>98</v>
      </c>
      <c r="B22" s="200"/>
      <c r="C22" s="163">
        <v>-5000</v>
      </c>
      <c r="D22" s="162" t="s">
        <v>99</v>
      </c>
    </row>
    <row r="23" spans="1:6" ht="15.75" customHeight="1">
      <c r="A23" s="199" t="s">
        <v>107</v>
      </c>
      <c r="B23" s="200"/>
      <c r="C23" s="163">
        <v>-3000</v>
      </c>
      <c r="D23" s="162" t="s">
        <v>84</v>
      </c>
      <c r="F23" s="80"/>
    </row>
    <row r="24" spans="1:6" ht="15.75" customHeight="1">
      <c r="A24" s="199" t="s">
        <v>108</v>
      </c>
      <c r="B24" s="200"/>
      <c r="C24" s="163">
        <v>-10000</v>
      </c>
      <c r="D24" s="162" t="s">
        <v>96</v>
      </c>
      <c r="F24" s="80"/>
    </row>
    <row r="25" spans="1:6" ht="15.75" thickBot="1">
      <c r="A25" s="197" t="s">
        <v>5</v>
      </c>
      <c r="B25" s="198"/>
      <c r="C25" s="133">
        <f>SUM(C3:C24)</f>
        <v>2451288.8168461677</v>
      </c>
      <c r="D25" s="28"/>
      <c r="E25" s="83"/>
    </row>
    <row r="26" spans="1:6">
      <c r="A26" s="40" t="s">
        <v>6</v>
      </c>
      <c r="B26" s="29"/>
      <c r="C26" s="29"/>
      <c r="D26" s="29"/>
      <c r="E26" s="84"/>
    </row>
    <row r="27" spans="1:6">
      <c r="A27" s="41"/>
      <c r="B27" s="2"/>
      <c r="C27" s="2"/>
      <c r="D27" s="2"/>
      <c r="E27" s="79"/>
    </row>
    <row r="28" spans="1:6">
      <c r="A28" s="23"/>
      <c r="B28" s="2"/>
      <c r="C28" s="26"/>
      <c r="D28" s="30"/>
      <c r="E28" s="26"/>
    </row>
    <row r="29" spans="1:6" ht="24" thickBot="1">
      <c r="A29" s="22" t="s">
        <v>5</v>
      </c>
      <c r="B29" s="31"/>
      <c r="C29" s="32"/>
      <c r="E29" s="30"/>
    </row>
    <row r="30" spans="1:6">
      <c r="A30" s="103" t="s">
        <v>7</v>
      </c>
      <c r="B30" s="104" t="s">
        <v>8</v>
      </c>
      <c r="C30" s="105" t="s">
        <v>9</v>
      </c>
    </row>
    <row r="31" spans="1:6">
      <c r="A31" s="25" t="s">
        <v>10</v>
      </c>
      <c r="B31" s="106">
        <f>SUM(B32:B36)</f>
        <v>0.99999999999999989</v>
      </c>
      <c r="C31" s="33">
        <f>SUM(C32:C36)</f>
        <v>2451288.8168461677</v>
      </c>
    </row>
    <row r="32" spans="1:6">
      <c r="A32" s="34" t="s">
        <v>11</v>
      </c>
      <c r="B32" s="107">
        <v>0.57499999999999996</v>
      </c>
      <c r="C32" s="35">
        <f>B32*$C$25</f>
        <v>1409491.0696865462</v>
      </c>
      <c r="E32" s="17"/>
    </row>
    <row r="33" spans="1:6">
      <c r="A33" s="34" t="s">
        <v>12</v>
      </c>
      <c r="B33" s="107">
        <v>0.1</v>
      </c>
      <c r="C33" s="35">
        <f>B33*$C$25</f>
        <v>245128.88168461679</v>
      </c>
      <c r="E33" s="17"/>
    </row>
    <row r="34" spans="1:6">
      <c r="A34" s="34" t="s">
        <v>13</v>
      </c>
      <c r="B34" s="108">
        <v>0.08</v>
      </c>
      <c r="C34" s="35">
        <f>B34*$C$25</f>
        <v>196103.10534769343</v>
      </c>
      <c r="E34" s="17"/>
    </row>
    <row r="35" spans="1:6">
      <c r="A35" s="34" t="s">
        <v>14</v>
      </c>
      <c r="B35" s="107">
        <v>0.13</v>
      </c>
      <c r="C35" s="35">
        <f>B35*$C$25</f>
        <v>318667.54619000183</v>
      </c>
      <c r="E35" s="17"/>
    </row>
    <row r="36" spans="1:6" ht="15.75" thickBot="1">
      <c r="A36" s="36" t="s">
        <v>15</v>
      </c>
      <c r="B36" s="37">
        <v>0.115</v>
      </c>
      <c r="C36" s="38">
        <f>B36*$C$25</f>
        <v>281898.21393730928</v>
      </c>
      <c r="E36" s="17"/>
    </row>
    <row r="37" spans="1:6">
      <c r="A37" s="41" t="s">
        <v>6</v>
      </c>
      <c r="B37" s="39"/>
      <c r="C37" s="39"/>
      <c r="E37" s="17"/>
    </row>
    <row r="38" spans="1:6">
      <c r="E38" s="17"/>
    </row>
    <row r="39" spans="1:6">
      <c r="E39" s="17"/>
    </row>
    <row r="40" spans="1:6">
      <c r="E40" s="17"/>
    </row>
    <row r="41" spans="1:6">
      <c r="E41" s="17"/>
    </row>
    <row r="42" spans="1:6">
      <c r="E42" s="17"/>
      <c r="F42" s="80"/>
    </row>
    <row r="43" spans="1:6">
      <c r="E43" s="17"/>
    </row>
    <row r="44" spans="1:6">
      <c r="E44" s="17"/>
      <c r="F44" s="80"/>
    </row>
    <row r="45" spans="1:6">
      <c r="E45" s="17"/>
    </row>
    <row r="46" spans="1:6">
      <c r="E46" s="17"/>
    </row>
    <row r="47" spans="1:6">
      <c r="E47" s="17"/>
    </row>
    <row r="48" spans="1:6">
      <c r="D48" s="95"/>
      <c r="E48" s="17"/>
    </row>
    <row r="49" spans="4:5">
      <c r="D49" s="95"/>
      <c r="E49" s="17"/>
    </row>
    <row r="50" spans="4:5">
      <c r="D50" s="95"/>
      <c r="E50" s="17"/>
    </row>
    <row r="51" spans="4:5">
      <c r="D51" s="95"/>
      <c r="E51" s="17"/>
    </row>
    <row r="52" spans="4:5">
      <c r="D52" s="102"/>
      <c r="E52" s="17"/>
    </row>
  </sheetData>
  <mergeCells count="21">
    <mergeCell ref="A25:B25"/>
    <mergeCell ref="A14:B14"/>
    <mergeCell ref="A11:B11"/>
    <mergeCell ref="A13:B13"/>
    <mergeCell ref="A17:B17"/>
    <mergeCell ref="A16:B16"/>
    <mergeCell ref="A15:B15"/>
    <mergeCell ref="A12:B12"/>
    <mergeCell ref="A19:B19"/>
    <mergeCell ref="A18:B18"/>
    <mergeCell ref="A20:B20"/>
    <mergeCell ref="A21:B21"/>
    <mergeCell ref="A22:B22"/>
    <mergeCell ref="A23:B23"/>
    <mergeCell ref="A24:B24"/>
    <mergeCell ref="A9:B9"/>
    <mergeCell ref="A10:B10"/>
    <mergeCell ref="A5:B5"/>
    <mergeCell ref="A6:B6"/>
    <mergeCell ref="A8:B8"/>
    <mergeCell ref="A7:B7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&amp;LBilaga 3 till regleringsbrev för budgetåret 2024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AV69"/>
  <sheetViews>
    <sheetView showGridLines="0" zoomScale="115" zoomScaleNormal="115" zoomScaleSheetLayoutView="73" zoomScalePageLayoutView="90" workbookViewId="0">
      <selection activeCell="D7" sqref="D7"/>
    </sheetView>
  </sheetViews>
  <sheetFormatPr defaultColWidth="9.140625" defaultRowHeight="12.75"/>
  <cols>
    <col min="1" max="1" width="15.7109375" style="21" customWidth="1"/>
    <col min="2" max="2" width="13.5703125" style="21" customWidth="1"/>
    <col min="3" max="3" width="7.140625" style="8" customWidth="1"/>
    <col min="4" max="4" width="7.140625" style="21" customWidth="1"/>
    <col min="5" max="5" width="9.5703125" style="21" customWidth="1"/>
    <col min="6" max="6" width="9.5703125" style="1" customWidth="1"/>
    <col min="7" max="7" width="11" style="23" customWidth="1"/>
    <col min="8" max="12" width="9.5703125" style="23" customWidth="1"/>
    <col min="13" max="15" width="10.42578125" style="23" customWidth="1"/>
    <col min="16" max="16" width="9.85546875" style="23" bestFit="1" customWidth="1"/>
    <col min="17" max="17" width="11.5703125" style="23" customWidth="1"/>
    <col min="18" max="18" width="13.42578125" style="23" customWidth="1"/>
    <col min="19" max="19" width="1.42578125" style="23" customWidth="1"/>
    <col min="20" max="22" width="9.5703125" style="23" customWidth="1"/>
    <col min="23" max="23" width="10.7109375" style="23" customWidth="1"/>
    <col min="24" max="24" width="1.42578125" style="8" customWidth="1"/>
    <col min="25" max="25" width="15.7109375" style="8" customWidth="1"/>
    <col min="26" max="26" width="9.85546875" style="8" customWidth="1"/>
    <col min="27" max="27" width="10.42578125" style="8" customWidth="1"/>
    <col min="28" max="28" width="9.5703125" style="8" customWidth="1"/>
    <col min="29" max="29" width="8.7109375" style="8" customWidth="1"/>
    <col min="30" max="30" width="10.85546875" style="8" customWidth="1"/>
    <col min="31" max="31" width="9.7109375" style="8" customWidth="1"/>
    <col min="32" max="32" width="8.5703125" style="8" customWidth="1"/>
    <col min="33" max="33" width="8.7109375" style="8" customWidth="1"/>
    <col min="34" max="34" width="9.28515625" style="8" customWidth="1"/>
    <col min="35" max="35" width="10.7109375" style="8" customWidth="1"/>
    <col min="36" max="36" width="10.85546875" style="8" customWidth="1"/>
    <col min="37" max="37" width="2" style="8" customWidth="1"/>
    <col min="38" max="38" width="12.5703125" style="8" customWidth="1"/>
    <col min="39" max="40" width="12.85546875" style="8" customWidth="1"/>
    <col min="41" max="41" width="11.5703125" style="8" customWidth="1"/>
    <col min="42" max="42" width="12.28515625" style="8" customWidth="1"/>
    <col min="43" max="43" width="11" style="8" customWidth="1"/>
    <col min="44" max="44" width="12.42578125" style="8" customWidth="1"/>
    <col min="45" max="45" width="9.7109375" style="8" customWidth="1"/>
    <col min="46" max="46" width="9.85546875" style="8" customWidth="1"/>
    <col min="47" max="47" width="13" style="8" customWidth="1"/>
    <col min="48" max="16384" width="9.140625" style="8"/>
  </cols>
  <sheetData>
    <row r="1" spans="1:48" ht="23.25">
      <c r="A1" s="22" t="s">
        <v>89</v>
      </c>
      <c r="B1" s="22"/>
      <c r="C1" s="5"/>
      <c r="D1" s="42"/>
      <c r="E1" s="42"/>
      <c r="G1" s="94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2" t="s">
        <v>90</v>
      </c>
      <c r="U1" s="100"/>
      <c r="V1" s="100"/>
      <c r="W1" s="100"/>
      <c r="X1" s="21"/>
      <c r="Z1" s="43"/>
      <c r="AA1" s="21"/>
      <c r="AG1" s="5"/>
      <c r="AH1" s="17"/>
      <c r="AI1" s="17"/>
      <c r="AJ1" s="44"/>
      <c r="AK1" s="5"/>
      <c r="AL1" s="22" t="s">
        <v>16</v>
      </c>
      <c r="AM1" s="17"/>
      <c r="AN1" s="17"/>
      <c r="AO1" s="21"/>
      <c r="AP1" s="21"/>
    </row>
    <row r="2" spans="1:48">
      <c r="C2" s="5"/>
      <c r="G2" s="2"/>
      <c r="H2" s="2"/>
      <c r="I2" s="2"/>
      <c r="J2" s="2"/>
      <c r="K2" s="2"/>
      <c r="L2" s="2"/>
      <c r="M2" s="76"/>
      <c r="N2" s="93"/>
      <c r="O2" s="94"/>
      <c r="P2" s="129"/>
      <c r="Q2" s="129"/>
      <c r="R2" s="2"/>
      <c r="S2" s="94"/>
      <c r="T2" s="94"/>
      <c r="U2" s="94"/>
      <c r="V2" s="94"/>
      <c r="W2" s="113"/>
      <c r="X2" s="21"/>
      <c r="Y2" s="21"/>
      <c r="Z2" s="43"/>
      <c r="AA2" s="21"/>
      <c r="AG2" s="5"/>
      <c r="AH2" s="17"/>
      <c r="AI2" s="17"/>
      <c r="AJ2" s="44"/>
      <c r="AK2" s="5"/>
      <c r="AL2" s="5"/>
      <c r="AM2" s="17"/>
      <c r="AN2" s="17"/>
      <c r="AO2" s="21"/>
      <c r="AP2" s="21"/>
    </row>
    <row r="3" spans="1:48" ht="15.75">
      <c r="A3" s="202"/>
      <c r="B3" s="204" t="s">
        <v>17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6"/>
      <c r="T3" s="204" t="s">
        <v>72</v>
      </c>
      <c r="U3" s="205"/>
      <c r="V3" s="205"/>
      <c r="W3" s="206"/>
      <c r="X3" s="21"/>
      <c r="Y3" s="204" t="s">
        <v>18</v>
      </c>
      <c r="Z3" s="205"/>
      <c r="AA3" s="205"/>
      <c r="AB3" s="205"/>
      <c r="AC3" s="205"/>
      <c r="AD3" s="206"/>
      <c r="AE3" s="204" t="s">
        <v>19</v>
      </c>
      <c r="AF3" s="205"/>
      <c r="AG3" s="205"/>
      <c r="AH3" s="205"/>
      <c r="AI3" s="205"/>
      <c r="AJ3" s="206"/>
      <c r="AL3" s="210" t="s">
        <v>20</v>
      </c>
      <c r="AM3" s="211"/>
      <c r="AN3" s="211"/>
      <c r="AO3" s="211"/>
      <c r="AP3" s="211"/>
      <c r="AQ3" s="212"/>
      <c r="AR3" s="77"/>
      <c r="AS3" s="77"/>
      <c r="AT3" s="146"/>
    </row>
    <row r="4" spans="1:48" ht="12.75" customHeight="1">
      <c r="A4" s="203"/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T4" s="207"/>
      <c r="U4" s="208"/>
      <c r="V4" s="208"/>
      <c r="W4" s="209"/>
      <c r="X4" s="21"/>
      <c r="Y4" s="207"/>
      <c r="Z4" s="208"/>
      <c r="AA4" s="208"/>
      <c r="AB4" s="208"/>
      <c r="AC4" s="208"/>
      <c r="AD4" s="209"/>
      <c r="AE4" s="207"/>
      <c r="AF4" s="208"/>
      <c r="AG4" s="208"/>
      <c r="AH4" s="208"/>
      <c r="AI4" s="208"/>
      <c r="AJ4" s="209"/>
      <c r="AL4" s="213"/>
      <c r="AM4" s="214"/>
      <c r="AN4" s="214"/>
      <c r="AO4" s="214"/>
      <c r="AP4" s="214"/>
      <c r="AQ4" s="215"/>
      <c r="AR4" s="78"/>
      <c r="AS4" s="78"/>
      <c r="AT4" s="147"/>
    </row>
    <row r="5" spans="1:48" ht="58.5" customHeight="1">
      <c r="A5" s="45"/>
      <c r="B5" s="96" t="s">
        <v>71</v>
      </c>
      <c r="C5" s="101" t="s">
        <v>37</v>
      </c>
      <c r="D5" s="46" t="s">
        <v>21</v>
      </c>
      <c r="E5" s="46" t="s">
        <v>22</v>
      </c>
      <c r="F5" s="46" t="s">
        <v>23</v>
      </c>
      <c r="G5" s="46" t="s">
        <v>24</v>
      </c>
      <c r="H5" s="46" t="s">
        <v>25</v>
      </c>
      <c r="I5" s="46" t="s">
        <v>26</v>
      </c>
      <c r="J5" s="46" t="s">
        <v>27</v>
      </c>
      <c r="K5" s="46" t="s">
        <v>28</v>
      </c>
      <c r="L5" s="46" t="s">
        <v>29</v>
      </c>
      <c r="M5" s="46" t="s">
        <v>69</v>
      </c>
      <c r="N5" s="87" t="s">
        <v>70</v>
      </c>
      <c r="O5" s="46" t="s">
        <v>73</v>
      </c>
      <c r="P5" s="87" t="s">
        <v>78</v>
      </c>
      <c r="Q5" s="46" t="s">
        <v>95</v>
      </c>
      <c r="R5" s="47" t="s">
        <v>30</v>
      </c>
      <c r="S5" s="96"/>
      <c r="T5" s="117" t="s">
        <v>38</v>
      </c>
      <c r="U5" s="118" t="s">
        <v>39</v>
      </c>
      <c r="V5" s="118" t="s">
        <v>40</v>
      </c>
      <c r="W5" s="119" t="s">
        <v>30</v>
      </c>
      <c r="X5" s="21"/>
      <c r="Y5" s="53"/>
      <c r="Z5" s="46" t="s">
        <v>93</v>
      </c>
      <c r="AA5" s="46" t="s">
        <v>31</v>
      </c>
      <c r="AB5" s="46" t="s">
        <v>32</v>
      </c>
      <c r="AC5" s="46" t="s">
        <v>92</v>
      </c>
      <c r="AD5" s="47" t="s">
        <v>33</v>
      </c>
      <c r="AE5" s="48" t="s">
        <v>93</v>
      </c>
      <c r="AF5" s="46" t="s">
        <v>31</v>
      </c>
      <c r="AG5" s="46" t="s">
        <v>34</v>
      </c>
      <c r="AH5" s="46" t="s">
        <v>35</v>
      </c>
      <c r="AI5" s="46" t="s">
        <v>33</v>
      </c>
      <c r="AJ5" s="47" t="s">
        <v>36</v>
      </c>
      <c r="AK5" s="49"/>
      <c r="AL5" s="72"/>
      <c r="AM5" s="174" t="s">
        <v>1</v>
      </c>
      <c r="AN5" s="131" t="s">
        <v>75</v>
      </c>
      <c r="AO5" s="131" t="s">
        <v>2</v>
      </c>
      <c r="AP5" s="131" t="s">
        <v>94</v>
      </c>
      <c r="AQ5" s="131" t="s">
        <v>41</v>
      </c>
      <c r="AR5" s="117" t="s">
        <v>42</v>
      </c>
      <c r="AS5" s="117" t="s">
        <v>43</v>
      </c>
      <c r="AT5" s="148" t="s">
        <v>82</v>
      </c>
    </row>
    <row r="6" spans="1:48" ht="11.25">
      <c r="A6" s="50" t="s">
        <v>44</v>
      </c>
      <c r="B6" s="177" t="s">
        <v>76</v>
      </c>
      <c r="C6" s="175"/>
      <c r="D6" s="51" t="s">
        <v>45</v>
      </c>
      <c r="E6" s="51" t="s">
        <v>45</v>
      </c>
      <c r="F6" s="51" t="s">
        <v>45</v>
      </c>
      <c r="G6" s="51" t="s">
        <v>45</v>
      </c>
      <c r="H6" s="51" t="s">
        <v>45</v>
      </c>
      <c r="I6" s="51" t="s">
        <v>45</v>
      </c>
      <c r="J6" s="51" t="s">
        <v>45</v>
      </c>
      <c r="K6" s="51" t="s">
        <v>45</v>
      </c>
      <c r="L6" s="51" t="s">
        <v>45</v>
      </c>
      <c r="M6" s="51" t="s">
        <v>45</v>
      </c>
      <c r="N6" s="51"/>
      <c r="O6" s="51"/>
      <c r="P6" s="51" t="s">
        <v>45</v>
      </c>
      <c r="Q6" s="192"/>
      <c r="R6" s="52"/>
      <c r="S6" s="97"/>
      <c r="T6" s="178" t="s">
        <v>45</v>
      </c>
      <c r="U6" s="179" t="s">
        <v>45</v>
      </c>
      <c r="V6" s="179" t="s">
        <v>45</v>
      </c>
      <c r="W6" s="120"/>
      <c r="X6" s="112"/>
      <c r="Y6" s="56"/>
      <c r="Z6" s="165"/>
      <c r="AA6" s="54"/>
      <c r="AB6" s="166"/>
      <c r="AC6" s="166"/>
      <c r="AD6" s="167"/>
      <c r="AE6" s="55"/>
      <c r="AF6" s="54"/>
      <c r="AG6" s="54"/>
      <c r="AH6" s="54"/>
      <c r="AI6" s="54"/>
      <c r="AJ6" s="56"/>
      <c r="AL6" s="73"/>
      <c r="AM6" s="175"/>
      <c r="AN6" s="132"/>
      <c r="AO6" s="176" t="s">
        <v>45</v>
      </c>
      <c r="AP6" s="132"/>
      <c r="AQ6" s="132"/>
      <c r="AR6" s="152"/>
      <c r="AS6" s="152"/>
      <c r="AT6" s="149"/>
    </row>
    <row r="7" spans="1:48" ht="15" customHeight="1">
      <c r="A7" s="45" t="s">
        <v>46</v>
      </c>
      <c r="B7" s="17">
        <f>(1935.98795322293*1.031457)</f>
        <v>1996.8883262674638</v>
      </c>
      <c r="C7" s="4"/>
      <c r="D7" s="17"/>
      <c r="E7" s="17"/>
      <c r="F7" s="17"/>
      <c r="G7" s="17">
        <f>6833.9644423*1.031457</f>
        <v>7048.9404617614318</v>
      </c>
      <c r="H7" s="17"/>
      <c r="I7" s="17">
        <f>983.0081326*1.031457</f>
        <v>1013.9306194271982</v>
      </c>
      <c r="J7" s="17"/>
      <c r="K7" s="17">
        <f>2572.16813*1.031457</f>
        <v>2653.08082286541</v>
      </c>
      <c r="L7" s="17">
        <f>4525.192671*1.031457</f>
        <v>4667.5416568516475</v>
      </c>
      <c r="M7" s="17">
        <f>5054.0346*1.031457</f>
        <v>5213.0193664122007</v>
      </c>
      <c r="N7" s="17">
        <v>-5114.5822239268009</v>
      </c>
      <c r="O7" s="17">
        <v>500</v>
      </c>
      <c r="P7" s="125">
        <f>20700*1.031457</f>
        <v>21351.159900000002</v>
      </c>
      <c r="Q7" s="17">
        <v>-926</v>
      </c>
      <c r="R7" s="57">
        <f t="shared" ref="R7:R28" si="0">SUM(B7:Q7)</f>
        <v>38403.978929658551</v>
      </c>
      <c r="S7" s="98"/>
      <c r="T7" s="135">
        <f>1020.45606*1.031457</f>
        <v>1052.55654627942</v>
      </c>
      <c r="U7" s="160">
        <f>1930.33966217*1.031457</f>
        <v>1991.0623569228819</v>
      </c>
      <c r="V7" s="136">
        <v>2412.9134621769485</v>
      </c>
      <c r="W7" s="121">
        <f>SUM(T7:V7)</f>
        <v>5456.5323653792511</v>
      </c>
      <c r="X7" s="111"/>
      <c r="Y7" s="58" t="s">
        <v>46</v>
      </c>
      <c r="Z7" s="168">
        <v>0.23190742890120056</v>
      </c>
      <c r="AA7" s="168">
        <v>1.5966471259658884E-2</v>
      </c>
      <c r="AB7" s="168">
        <v>6.6210045662100453E-2</v>
      </c>
      <c r="AC7" s="168">
        <v>6.118331193856863E-2</v>
      </c>
      <c r="AD7" s="169">
        <v>3.2739015424782712E-2</v>
      </c>
      <c r="AE7" s="59">
        <f>SUM(Z7*'Översikt fördelning'!$C$32)</f>
        <v>326871.45003020985</v>
      </c>
      <c r="AF7" s="60">
        <f>SUM(AA7*'Översikt fördelning'!$C$33)</f>
        <v>3913.843244329757</v>
      </c>
      <c r="AG7" s="60">
        <f>SUM(AB7*'Översikt fördelning'!$C$34)</f>
        <v>12983.995559550478</v>
      </c>
      <c r="AH7" s="60">
        <f>SUM(AC7*'Översikt fördelning'!$C$35)</f>
        <v>19497.13588324111</v>
      </c>
      <c r="AI7" s="60">
        <f>SUM(AD7*'Översikt fördelning'!$C$36)</f>
        <v>9229.0699743122659</v>
      </c>
      <c r="AJ7" s="61">
        <f t="shared" ref="AJ7:AJ27" si="1">SUM(AE7:AI7)</f>
        <v>372495.49469164346</v>
      </c>
      <c r="AL7" s="3" t="s">
        <v>46</v>
      </c>
      <c r="AM7" s="4">
        <f>SUM(R7)</f>
        <v>38403.978929658551</v>
      </c>
      <c r="AN7" s="17">
        <f>SUM(W7)</f>
        <v>5456.5323653792511</v>
      </c>
      <c r="AO7" s="17">
        <f>43384.2941*1.031457</f>
        <v>44749.033839503703</v>
      </c>
      <c r="AP7" s="17"/>
      <c r="AQ7" s="17">
        <f>AJ7</f>
        <v>372495.49469164346</v>
      </c>
      <c r="AR7" s="153">
        <f t="shared" ref="AR7:AR27" si="2">SUM(AM7:AQ7)</f>
        <v>461105.03982618498</v>
      </c>
      <c r="AS7" s="181">
        <f>AR7/$AR$28</f>
        <v>0.11922283381274119</v>
      </c>
      <c r="AT7" s="150">
        <f t="shared" ref="AT7:AT27" si="3">AQ7/$AQ$28</f>
        <v>0.15195903972298816</v>
      </c>
      <c r="AU7" s="186"/>
      <c r="AV7" s="191"/>
    </row>
    <row r="8" spans="1:48" ht="11.25">
      <c r="A8" s="45" t="s">
        <v>47</v>
      </c>
      <c r="B8" s="95"/>
      <c r="C8" s="4"/>
      <c r="D8" s="17"/>
      <c r="E8" s="17">
        <f>997.768152*1.031457</f>
        <v>1029.1549447574641</v>
      </c>
      <c r="F8" s="17"/>
      <c r="G8" s="17"/>
      <c r="H8" s="17"/>
      <c r="I8" s="17">
        <f>983.0081326*1.031457</f>
        <v>1013.9306194271982</v>
      </c>
      <c r="J8" s="17"/>
      <c r="K8" s="17">
        <f t="shared" ref="K8:K15" si="4">1714.77876*1.031457</f>
        <v>1768.72055545332</v>
      </c>
      <c r="L8" s="17"/>
      <c r="M8" s="17"/>
      <c r="N8" s="17">
        <v>-2187.4137313660426</v>
      </c>
      <c r="O8" s="17"/>
      <c r="P8" s="125"/>
      <c r="Q8" s="17">
        <v>-500</v>
      </c>
      <c r="R8" s="57">
        <f t="shared" si="0"/>
        <v>1124.3923882719396</v>
      </c>
      <c r="S8" s="98"/>
      <c r="T8" s="135">
        <f>3639.47059*1.031457</f>
        <v>3753.95741634963</v>
      </c>
      <c r="U8" s="160">
        <f>-464.66715878*1.031457</f>
        <v>-479.28419359374254</v>
      </c>
      <c r="V8" s="136">
        <v>-543.17711754858931</v>
      </c>
      <c r="W8" s="122">
        <f t="shared" ref="W8:W28" si="5">SUM(T8:V8)</f>
        <v>2731.4961052072981</v>
      </c>
      <c r="X8" s="21"/>
      <c r="Y8" s="45" t="s">
        <v>47</v>
      </c>
      <c r="Z8" s="170">
        <v>3.8082009923247097E-2</v>
      </c>
      <c r="AA8" s="170">
        <v>1.924085170903465E-2</v>
      </c>
      <c r="AB8" s="170">
        <v>2.7397260273972601E-2</v>
      </c>
      <c r="AC8" s="170">
        <v>2.2909526873717855E-2</v>
      </c>
      <c r="AD8" s="171">
        <v>4.4556666323130302E-2</v>
      </c>
      <c r="AE8" s="62">
        <f>SUM(Z8*'Översikt fördelning'!$C$32)</f>
        <v>53676.252902531218</v>
      </c>
      <c r="AF8" s="5">
        <f>SUM(AA8*'Översikt fördelning'!$C$33)</f>
        <v>4716.4884620952116</v>
      </c>
      <c r="AG8" s="5">
        <f>SUM(AB8*'Översikt fördelning'!$C$34)</f>
        <v>5372.6878177450253</v>
      </c>
      <c r="AH8" s="5">
        <f>SUM(AC8*'Översikt fördelning'!$C$35)</f>
        <v>7300.5227132215723</v>
      </c>
      <c r="AI8" s="5">
        <f>SUM(AD8*'Översikt fördelning'!$C$36)</f>
        <v>12560.44465549109</v>
      </c>
      <c r="AJ8" s="63">
        <f t="shared" si="1"/>
        <v>83626.396551084123</v>
      </c>
      <c r="AL8" s="3" t="s">
        <v>47</v>
      </c>
      <c r="AM8" s="4">
        <f>SUM(R8)</f>
        <v>1124.3923882719396</v>
      </c>
      <c r="AN8" s="17">
        <f t="shared" ref="AN8:AN27" si="6">SUM(W8)</f>
        <v>2731.4961052072981</v>
      </c>
      <c r="AO8" s="17">
        <f t="shared" ref="AO8:AO26" si="7">43384.2941*1.031457</f>
        <v>44749.033839503703</v>
      </c>
      <c r="AP8" s="17">
        <f>1000+1000</f>
        <v>2000</v>
      </c>
      <c r="AQ8" s="17">
        <f>AJ8</f>
        <v>83626.396551084123</v>
      </c>
      <c r="AR8" s="153">
        <f t="shared" si="2"/>
        <v>134231.31888406706</v>
      </c>
      <c r="AS8" s="181">
        <f t="shared" ref="AS8:AS27" si="8">AR8/$AR$28</f>
        <v>3.4706708540450444E-2</v>
      </c>
      <c r="AT8" s="150">
        <f t="shared" si="3"/>
        <v>3.4115276819431661E-2</v>
      </c>
      <c r="AU8" s="186"/>
      <c r="AV8" s="191"/>
    </row>
    <row r="9" spans="1:48" ht="11.25">
      <c r="A9" s="45" t="s">
        <v>48</v>
      </c>
      <c r="B9" s="95"/>
      <c r="C9" s="4"/>
      <c r="D9" s="17"/>
      <c r="E9" s="17"/>
      <c r="F9" s="17"/>
      <c r="G9" s="17"/>
      <c r="H9" s="17"/>
      <c r="I9" s="17">
        <f>983.0081326*1.031457</f>
        <v>1013.9306194271982</v>
      </c>
      <c r="J9" s="17"/>
      <c r="K9" s="17">
        <f t="shared" si="4"/>
        <v>1768.72055545332</v>
      </c>
      <c r="L9" s="17"/>
      <c r="M9" s="17"/>
      <c r="N9" s="17">
        <v>-3794.3254626278981</v>
      </c>
      <c r="O9" s="17"/>
      <c r="P9" s="125"/>
      <c r="Q9" s="17">
        <v>-594</v>
      </c>
      <c r="R9" s="57">
        <f t="shared" si="0"/>
        <v>-1605.6742877473798</v>
      </c>
      <c r="S9" s="98"/>
      <c r="T9" s="135">
        <f>-2179.00136*1.031457</f>
        <v>-2247.5462057815203</v>
      </c>
      <c r="U9" s="160">
        <f>-328.49220736*1.031457</f>
        <v>-338.82558672692358</v>
      </c>
      <c r="V9" s="136">
        <v>-983.75411289355634</v>
      </c>
      <c r="W9" s="122">
        <f t="shared" si="5"/>
        <v>-3570.1259054020002</v>
      </c>
      <c r="X9" s="21"/>
      <c r="Y9" s="45" t="s">
        <v>48</v>
      </c>
      <c r="Z9" s="170">
        <v>2.8756773237722633E-2</v>
      </c>
      <c r="AA9" s="170">
        <v>1.5698783997589765E-2</v>
      </c>
      <c r="AB9" s="170">
        <v>2.7397260273972601E-2</v>
      </c>
      <c r="AC9" s="170">
        <v>2.6423687976549835E-2</v>
      </c>
      <c r="AD9" s="171">
        <v>3.3357380878766017E-2</v>
      </c>
      <c r="AE9" s="62">
        <f>SUM(Z9*'Översikt fördelning'!$C$32)</f>
        <v>40532.415071571122</v>
      </c>
      <c r="AF9" s="5">
        <f>SUM(AA9*'Översikt fördelning'!$C$33)</f>
        <v>3848.2253651375368</v>
      </c>
      <c r="AG9" s="5">
        <f>SUM(AB9*'Översikt fördelning'!$C$34)</f>
        <v>5372.6878177450253</v>
      </c>
      <c r="AH9" s="5">
        <f>SUM(AC9*'Översikt fördelning'!$C$35)</f>
        <v>8420.3718087773905</v>
      </c>
      <c r="AI9" s="5">
        <f>SUM(AD9*'Översikt fördelning'!$C$36)</f>
        <v>9403.3860913506924</v>
      </c>
      <c r="AJ9" s="63">
        <f>SUM(AE9:AI9)</f>
        <v>67577.086154581761</v>
      </c>
      <c r="AL9" s="3" t="s">
        <v>48</v>
      </c>
      <c r="AM9" s="4">
        <f t="shared" ref="AM9:AM27" si="9">SUM(R9)</f>
        <v>-1605.6742877473798</v>
      </c>
      <c r="AN9" s="17">
        <f t="shared" si="6"/>
        <v>-3570.1259054020002</v>
      </c>
      <c r="AO9" s="17">
        <f t="shared" si="7"/>
        <v>44749.033839503703</v>
      </c>
      <c r="AP9" s="17">
        <v>200</v>
      </c>
      <c r="AQ9" s="17">
        <f t="shared" ref="AQ9:AQ27" si="10">AJ9</f>
        <v>67577.086154581761</v>
      </c>
      <c r="AR9" s="153">
        <f t="shared" si="2"/>
        <v>107350.31980093609</v>
      </c>
      <c r="AS9" s="181">
        <f t="shared" si="8"/>
        <v>2.7756385708115665E-2</v>
      </c>
      <c r="AT9" s="150">
        <f t="shared" si="3"/>
        <v>2.7567982071376868E-2</v>
      </c>
      <c r="AU9" s="186"/>
      <c r="AV9" s="191"/>
    </row>
    <row r="10" spans="1:48" ht="11.25">
      <c r="A10" s="45" t="s">
        <v>49</v>
      </c>
      <c r="B10" s="110">
        <f>32316.8*1.031457</f>
        <v>33333.389577599999</v>
      </c>
      <c r="C10" s="4"/>
      <c r="D10" s="17"/>
      <c r="E10" s="17"/>
      <c r="F10" s="17"/>
      <c r="G10" s="17"/>
      <c r="H10" s="17"/>
      <c r="I10" s="17">
        <f>983.0081326*1.031457</f>
        <v>1013.9306194271982</v>
      </c>
      <c r="J10" s="17"/>
      <c r="K10" s="17">
        <f t="shared" si="4"/>
        <v>1768.72055545332</v>
      </c>
      <c r="L10" s="17"/>
      <c r="M10" s="17"/>
      <c r="N10" s="17">
        <v>-2660.0348287959996</v>
      </c>
      <c r="O10" s="17"/>
      <c r="P10" s="125">
        <f>20700*1.031457</f>
        <v>21351.159900000002</v>
      </c>
      <c r="Q10" s="17">
        <v>-581</v>
      </c>
      <c r="R10" s="57">
        <f t="shared" si="0"/>
        <v>54226.165823684525</v>
      </c>
      <c r="S10" s="98"/>
      <c r="T10" s="135">
        <f>1337.59321*1.031457</f>
        <v>1379.6698796069702</v>
      </c>
      <c r="U10" s="160">
        <f>689.2363769*1.031457</f>
        <v>710.9176856081433</v>
      </c>
      <c r="V10" s="136">
        <v>1658.500798915022</v>
      </c>
      <c r="W10" s="122">
        <f t="shared" si="5"/>
        <v>3749.0883641301352</v>
      </c>
      <c r="X10" s="21"/>
      <c r="Y10" s="45" t="s">
        <v>49</v>
      </c>
      <c r="Z10" s="170">
        <v>4.4851921141701855E-2</v>
      </c>
      <c r="AA10" s="170">
        <v>2.7319790507953183E-2</v>
      </c>
      <c r="AB10" s="170">
        <v>4.5662100456621002E-2</v>
      </c>
      <c r="AC10" s="170">
        <v>5.3839723987175812E-2</v>
      </c>
      <c r="AD10" s="171">
        <v>5.3127898588065547E-2</v>
      </c>
      <c r="AE10" s="62">
        <f>SUM(Z10*'Översikt fördelning'!$C$32)</f>
        <v>63218.382307513966</v>
      </c>
      <c r="AF10" s="5">
        <f>SUM(AA10*'Översikt fördelning'!$C$33)</f>
        <v>6696.8696950725725</v>
      </c>
      <c r="AG10" s="5">
        <f>SUM(AB10*'Översikt fördelning'!$C$34)</f>
        <v>8954.4796962417095</v>
      </c>
      <c r="AH10" s="5">
        <f>SUM(AC10*'Översikt fördelning'!$C$35)</f>
        <v>17156.972730540296</v>
      </c>
      <c r="AI10" s="5">
        <f>SUM(AD10*'Översikt fördelning'!$C$36)</f>
        <v>14976.659722218174</v>
      </c>
      <c r="AJ10" s="63">
        <f t="shared" si="1"/>
        <v>111003.36415158672</v>
      </c>
      <c r="AL10" s="3" t="s">
        <v>49</v>
      </c>
      <c r="AM10" s="4">
        <f>SUM(R10)</f>
        <v>54226.165823684525</v>
      </c>
      <c r="AN10" s="17">
        <f t="shared" si="6"/>
        <v>3749.0883641301352</v>
      </c>
      <c r="AO10" s="17">
        <f t="shared" si="7"/>
        <v>44749.033839503703</v>
      </c>
      <c r="AP10" s="17">
        <v>2600</v>
      </c>
      <c r="AQ10" s="17">
        <f t="shared" si="10"/>
        <v>111003.36415158672</v>
      </c>
      <c r="AR10" s="153">
        <f t="shared" si="2"/>
        <v>216327.65217890509</v>
      </c>
      <c r="AS10" s="181">
        <f t="shared" si="8"/>
        <v>5.5933450075818208E-2</v>
      </c>
      <c r="AT10" s="150">
        <f t="shared" si="3"/>
        <v>4.5283674199763958E-2</v>
      </c>
      <c r="AU10" s="186"/>
      <c r="AV10" s="191"/>
    </row>
    <row r="11" spans="1:48" ht="11.25">
      <c r="A11" s="45" t="s">
        <v>50</v>
      </c>
      <c r="B11" s="95"/>
      <c r="C11" s="4"/>
      <c r="D11" s="17"/>
      <c r="E11" s="17"/>
      <c r="F11" s="17"/>
      <c r="G11" s="17"/>
      <c r="H11" s="17"/>
      <c r="I11" s="17"/>
      <c r="J11" s="17"/>
      <c r="K11" s="17">
        <f t="shared" si="4"/>
        <v>1768.72055545332</v>
      </c>
      <c r="L11" s="17"/>
      <c r="M11" s="17"/>
      <c r="N11" s="17">
        <v>-2124.7400640981564</v>
      </c>
      <c r="O11" s="17"/>
      <c r="P11" s="125"/>
      <c r="Q11" s="17">
        <v>-489</v>
      </c>
      <c r="R11" s="57">
        <f t="shared" si="0"/>
        <v>-845.01950864483638</v>
      </c>
      <c r="S11" s="98"/>
      <c r="T11" s="135">
        <f>-1337.59321*1.031457</f>
        <v>-1379.6698796069702</v>
      </c>
      <c r="U11" s="160">
        <f>-1146.73643297*1.031457</f>
        <v>-1182.8093209419374</v>
      </c>
      <c r="V11" s="136">
        <v>-965.64820897526965</v>
      </c>
      <c r="W11" s="122">
        <f t="shared" si="5"/>
        <v>-3528.127409524177</v>
      </c>
      <c r="X11" s="21"/>
      <c r="Y11" s="45" t="s">
        <v>50</v>
      </c>
      <c r="Z11" s="170">
        <v>3.5081598197072753E-2</v>
      </c>
      <c r="AA11" s="170">
        <v>2.6133223191993481E-2</v>
      </c>
      <c r="AB11" s="170">
        <v>4.3378995433789952E-2</v>
      </c>
      <c r="AC11" s="170">
        <v>5.8815259731589589E-2</v>
      </c>
      <c r="AD11" s="171">
        <v>5.2784362224741491E-2</v>
      </c>
      <c r="AE11" s="62">
        <f>SUM(Z11*'Översikt fördelning'!$C$32)</f>
        <v>49447.199369105685</v>
      </c>
      <c r="AF11" s="5">
        <f>SUM(AA11*'Översikt fördelning'!$C$33)</f>
        <v>6406.0077758678535</v>
      </c>
      <c r="AG11" s="5">
        <f>SUM(AB11*'Översikt fördelning'!$C$34)</f>
        <v>8506.7557114296233</v>
      </c>
      <c r="AH11" s="5">
        <f>SUM(AC11*'Översikt fördelning'!$C$35)</f>
        <v>18742.514497193279</v>
      </c>
      <c r="AI11" s="5">
        <f>SUM(AD11*'Översikt fördelning'!$C$36)</f>
        <v>14879.817434974602</v>
      </c>
      <c r="AJ11" s="63">
        <f t="shared" si="1"/>
        <v>97982.294788571031</v>
      </c>
      <c r="AL11" s="3" t="s">
        <v>50</v>
      </c>
      <c r="AM11" s="4">
        <f t="shared" si="9"/>
        <v>-845.01950864483638</v>
      </c>
      <c r="AN11" s="17">
        <f t="shared" si="6"/>
        <v>-3528.127409524177</v>
      </c>
      <c r="AO11" s="17">
        <f t="shared" si="7"/>
        <v>44749.033839503703</v>
      </c>
      <c r="AP11" s="17"/>
      <c r="AQ11" s="17">
        <f t="shared" si="10"/>
        <v>97982.294788571031</v>
      </c>
      <c r="AR11" s="153">
        <f t="shared" si="2"/>
        <v>138358.18170990574</v>
      </c>
      <c r="AS11" s="181">
        <f t="shared" si="8"/>
        <v>3.5773745849429786E-2</v>
      </c>
      <c r="AT11" s="150">
        <f t="shared" si="3"/>
        <v>3.9971746338171285E-2</v>
      </c>
      <c r="AU11" s="186"/>
      <c r="AV11" s="191"/>
    </row>
    <row r="12" spans="1:48" ht="11.25">
      <c r="A12" s="45" t="s">
        <v>51</v>
      </c>
      <c r="B12" s="95"/>
      <c r="C12" s="4"/>
      <c r="D12" s="17"/>
      <c r="E12" s="17"/>
      <c r="F12" s="17"/>
      <c r="G12" s="17"/>
      <c r="H12" s="17"/>
      <c r="I12" s="17"/>
      <c r="J12" s="17"/>
      <c r="K12" s="17">
        <f t="shared" si="4"/>
        <v>1768.72055545332</v>
      </c>
      <c r="L12" s="17"/>
      <c r="M12" s="17"/>
      <c r="N12" s="17">
        <v>-2674.4189491525635</v>
      </c>
      <c r="O12" s="17"/>
      <c r="P12" s="125"/>
      <c r="Q12" s="17">
        <v>-476</v>
      </c>
      <c r="R12" s="57">
        <f t="shared" si="0"/>
        <v>-1381.6983936992435</v>
      </c>
      <c r="S12" s="98"/>
      <c r="T12" s="135">
        <f>-1488.55517*1.031457</f>
        <v>-1535.3806499826901</v>
      </c>
      <c r="U12" s="160">
        <f>-117.06267753*1.031457</f>
        <v>-120.74511817706122</v>
      </c>
      <c r="V12" s="136">
        <v>-665.09020393171704</v>
      </c>
      <c r="W12" s="122">
        <f t="shared" si="5"/>
        <v>-2321.2159720914683</v>
      </c>
      <c r="X12" s="21"/>
      <c r="Y12" s="45" t="s">
        <v>51</v>
      </c>
      <c r="Z12" s="170">
        <v>1.9420606609896862E-2</v>
      </c>
      <c r="AA12" s="170">
        <v>2.0975823662999691E-2</v>
      </c>
      <c r="AB12" s="170">
        <v>2.9680365296803651E-2</v>
      </c>
      <c r="AC12" s="170">
        <v>2.3461176075988299E-2</v>
      </c>
      <c r="AD12" s="171">
        <v>3.4748703150228454E-2</v>
      </c>
      <c r="AE12" s="62">
        <f>SUM(Z12*'Översikt fördelning'!$C$32)</f>
        <v>27373.17158454514</v>
      </c>
      <c r="AF12" s="5">
        <f>SUM(AA12*'Översikt fördelning'!$C$33)</f>
        <v>5141.7801969248367</v>
      </c>
      <c r="AG12" s="5">
        <f>SUM(AB12*'Översikt fördelning'!$C$34)</f>
        <v>5820.4118025571106</v>
      </c>
      <c r="AH12" s="5">
        <f>SUM(AC12*'Översikt fördelning'!$C$35)</f>
        <v>7476.3154108667668</v>
      </c>
      <c r="AI12" s="5">
        <f>SUM(AD12*'Översikt fördelning'!$C$36)</f>
        <v>9795.5973546871537</v>
      </c>
      <c r="AJ12" s="63">
        <f>SUM(AE12:AI12)</f>
        <v>55607.276349581007</v>
      </c>
      <c r="AL12" s="3" t="s">
        <v>51</v>
      </c>
      <c r="AM12" s="4">
        <f t="shared" si="9"/>
        <v>-1381.6983936992435</v>
      </c>
      <c r="AN12" s="17">
        <f t="shared" si="6"/>
        <v>-2321.2159720914683</v>
      </c>
      <c r="AO12" s="17">
        <f t="shared" si="7"/>
        <v>44749.033839503703</v>
      </c>
      <c r="AP12" s="17"/>
      <c r="AQ12" s="17">
        <f t="shared" si="10"/>
        <v>55607.276349581007</v>
      </c>
      <c r="AR12" s="153">
        <f t="shared" si="2"/>
        <v>96653.395823294006</v>
      </c>
      <c r="AS12" s="181">
        <f t="shared" si="8"/>
        <v>2.4990600302311632E-2</v>
      </c>
      <c r="AT12" s="150">
        <f t="shared" si="3"/>
        <v>2.2684914142889707E-2</v>
      </c>
      <c r="AU12" s="186"/>
      <c r="AV12" s="191"/>
    </row>
    <row r="13" spans="1:48" ht="11.25">
      <c r="A13" s="45" t="s">
        <v>52</v>
      </c>
      <c r="B13" s="95"/>
      <c r="C13" s="4"/>
      <c r="D13" s="17"/>
      <c r="E13" s="17"/>
      <c r="F13" s="17"/>
      <c r="G13" s="17"/>
      <c r="H13" s="17"/>
      <c r="I13" s="17">
        <f>1966.016265*1.031457</f>
        <v>2027.8612386481052</v>
      </c>
      <c r="J13" s="17"/>
      <c r="K13" s="17">
        <f t="shared" si="4"/>
        <v>1768.72055545332</v>
      </c>
      <c r="L13" s="17"/>
      <c r="M13" s="17"/>
      <c r="N13" s="17">
        <v>-6425.5920507107703</v>
      </c>
      <c r="O13" s="17"/>
      <c r="P13" s="125"/>
      <c r="Q13" s="17">
        <v>-483</v>
      </c>
      <c r="R13" s="57">
        <f t="shared" si="0"/>
        <v>-3112.0102566093451</v>
      </c>
      <c r="S13" s="98"/>
      <c r="T13" s="135">
        <f>1488.55517*1.031457</f>
        <v>1535.3806499826901</v>
      </c>
      <c r="U13" s="160">
        <f>-306.99089924*1.031457</f>
        <v>-316.64791195739269</v>
      </c>
      <c r="V13" s="136">
        <v>-692.85258993975651</v>
      </c>
      <c r="W13" s="122">
        <f t="shared" si="5"/>
        <v>525.88014808554078</v>
      </c>
      <c r="X13" s="21"/>
      <c r="Y13" s="45" t="s">
        <v>52</v>
      </c>
      <c r="Z13" s="170">
        <v>2.3543190759997855E-2</v>
      </c>
      <c r="AA13" s="170">
        <v>2.5999413086123243E-2</v>
      </c>
      <c r="AB13" s="170">
        <v>4.3378995433789952E-2</v>
      </c>
      <c r="AC13" s="170">
        <v>3.8823120728108E-2</v>
      </c>
      <c r="AD13" s="171">
        <v>4.7493902229551001E-2</v>
      </c>
      <c r="AE13" s="62">
        <f>SUM(Z13*'Översikt fördelning'!$C$32)</f>
        <v>33183.917128143788</v>
      </c>
      <c r="AF13" s="5">
        <f>SUM(AA13*'Översikt fördelning'!$C$33)</f>
        <v>6373.2070542577821</v>
      </c>
      <c r="AG13" s="5">
        <f>SUM(AB13*'Översikt fördelning'!$C$34)</f>
        <v>8506.7557114296233</v>
      </c>
      <c r="AH13" s="5">
        <f>SUM(AC13*'Översikt fördelning'!$C$35)</f>
        <v>12371.668617864374</v>
      </c>
      <c r="AI13" s="5">
        <f>SUM(AD13*'Översikt fördelning'!$C$36)</f>
        <v>13388.446211423618</v>
      </c>
      <c r="AJ13" s="63">
        <f t="shared" si="1"/>
        <v>73823.994723119191</v>
      </c>
      <c r="AL13" s="3" t="s">
        <v>52</v>
      </c>
      <c r="AM13" s="4">
        <f t="shared" si="9"/>
        <v>-3112.0102566093451</v>
      </c>
      <c r="AN13" s="17">
        <f t="shared" si="6"/>
        <v>525.88014808554078</v>
      </c>
      <c r="AO13" s="17">
        <f t="shared" si="7"/>
        <v>44749.033839503703</v>
      </c>
      <c r="AP13" s="17">
        <v>1000</v>
      </c>
      <c r="AQ13" s="17">
        <f t="shared" si="10"/>
        <v>73823.994723119191</v>
      </c>
      <c r="AR13" s="153">
        <f t="shared" si="2"/>
        <v>116986.89845409909</v>
      </c>
      <c r="AS13" s="181">
        <f t="shared" si="8"/>
        <v>3.0248009342770672E-2</v>
      </c>
      <c r="AT13" s="150">
        <f t="shared" si="3"/>
        <v>3.0116400081366693E-2</v>
      </c>
      <c r="AU13" s="186"/>
      <c r="AV13" s="191"/>
    </row>
    <row r="14" spans="1:48" ht="11.25">
      <c r="A14" s="45" t="s">
        <v>53</v>
      </c>
      <c r="B14" s="110">
        <f>6766*1.031457</f>
        <v>6978.8380620000007</v>
      </c>
      <c r="C14" s="4"/>
      <c r="D14" s="17"/>
      <c r="E14" s="17"/>
      <c r="F14" s="17"/>
      <c r="G14" s="17"/>
      <c r="H14" s="17"/>
      <c r="I14" s="17">
        <f>983.0081326*1.031457</f>
        <v>1013.9306194271982</v>
      </c>
      <c r="J14" s="17"/>
      <c r="K14" s="17">
        <f t="shared" si="4"/>
        <v>1768.72055545332</v>
      </c>
      <c r="L14" s="17"/>
      <c r="M14" s="17"/>
      <c r="N14" s="17">
        <v>-2596.3337243597884</v>
      </c>
      <c r="O14" s="17"/>
      <c r="P14" s="125">
        <f>4400*1.031457</f>
        <v>4538.4108000000006</v>
      </c>
      <c r="Q14" s="17">
        <v>-482</v>
      </c>
      <c r="R14" s="57">
        <f t="shared" si="0"/>
        <v>11221.566312520732</v>
      </c>
      <c r="S14" s="98"/>
      <c r="T14" s="135">
        <f>-1020.45606146*1.031457</f>
        <v>-1052.5565477853472</v>
      </c>
      <c r="U14" s="160">
        <f>-152.89819106*1.031457</f>
        <v>-157.70790945617441</v>
      </c>
      <c r="V14" s="136">
        <v>-424.88521194911834</v>
      </c>
      <c r="W14" s="122">
        <f t="shared" si="5"/>
        <v>-1635.14966919064</v>
      </c>
      <c r="X14" s="21"/>
      <c r="Y14" s="45" t="s">
        <v>53</v>
      </c>
      <c r="Z14" s="170">
        <v>5.8140640034610854E-3</v>
      </c>
      <c r="AA14" s="170">
        <v>7.073653221511266E-3</v>
      </c>
      <c r="AB14" s="170">
        <v>4.5662100456621002E-3</v>
      </c>
      <c r="AC14" s="170">
        <v>9.2440697518135218E-3</v>
      </c>
      <c r="AD14" s="171">
        <v>2.2226802707066545E-2</v>
      </c>
      <c r="AE14" s="62">
        <f>SUM(Z14*'Översikt fördelning'!$C$32)</f>
        <v>8194.8712914644093</v>
      </c>
      <c r="AF14" s="5">
        <f>SUM(AA14*'Översikt fördelning'!$C$33)</f>
        <v>1733.9567036138435</v>
      </c>
      <c r="AG14" s="5">
        <f>SUM(AB14*'Översikt fördelning'!$C$34)</f>
        <v>895.44796962417092</v>
      </c>
      <c r="AH14" s="5">
        <f>SUM(AC14*'Översikt fördelning'!$C$35)</f>
        <v>2945.785024619634</v>
      </c>
      <c r="AI14" s="5">
        <f>SUM(AD14*'Översikt fördelning'!$C$36)</f>
        <v>6265.6959846590098</v>
      </c>
      <c r="AJ14" s="63">
        <f t="shared" si="1"/>
        <v>20035.756973981068</v>
      </c>
      <c r="AL14" s="3" t="s">
        <v>53</v>
      </c>
      <c r="AM14" s="4">
        <f t="shared" si="9"/>
        <v>11221.566312520732</v>
      </c>
      <c r="AN14" s="17">
        <f>SUM(W14)</f>
        <v>-1635.14966919064</v>
      </c>
      <c r="AO14" s="17">
        <f t="shared" si="7"/>
        <v>44749.033839503703</v>
      </c>
      <c r="AP14" s="17"/>
      <c r="AQ14" s="17">
        <f t="shared" si="10"/>
        <v>20035.756973981068</v>
      </c>
      <c r="AR14" s="153">
        <f t="shared" si="2"/>
        <v>74371.207456814867</v>
      </c>
      <c r="AS14" s="181">
        <f t="shared" si="8"/>
        <v>1.922934112890869E-2</v>
      </c>
      <c r="AT14" s="150">
        <f t="shared" si="3"/>
        <v>8.1735603068426293E-3</v>
      </c>
      <c r="AU14" s="186"/>
      <c r="AV14" s="191"/>
    </row>
    <row r="15" spans="1:48" ht="11.25">
      <c r="A15" s="45" t="s">
        <v>54</v>
      </c>
      <c r="B15" s="95"/>
      <c r="C15" s="4"/>
      <c r="D15" s="17"/>
      <c r="E15" s="17"/>
      <c r="F15" s="17"/>
      <c r="G15" s="17"/>
      <c r="H15" s="17">
        <f>-5552.115563*1.031457</f>
        <v>-5726.7684622652914</v>
      </c>
      <c r="I15" s="17">
        <f>983.0081326*1.031457</f>
        <v>1013.9306194271982</v>
      </c>
      <c r="J15" s="17"/>
      <c r="K15" s="17">
        <f t="shared" si="4"/>
        <v>1768.72055545332</v>
      </c>
      <c r="L15" s="17"/>
      <c r="M15" s="17"/>
      <c r="N15" s="17">
        <v>-3575.4813457744613</v>
      </c>
      <c r="O15" s="17"/>
      <c r="P15" s="125"/>
      <c r="Q15" s="17">
        <v>-450</v>
      </c>
      <c r="R15" s="57">
        <f t="shared" si="0"/>
        <v>-6969.5986331592339</v>
      </c>
      <c r="S15" s="98"/>
      <c r="T15" s="135">
        <f>-1884.09892081*1.031457</f>
        <v>-1943.3670205619203</v>
      </c>
      <c r="U15" s="160">
        <f>-90.78330094*1.031457</f>
        <v>-93.639071237669583</v>
      </c>
      <c r="V15" s="136">
        <v>-438.16287482252807</v>
      </c>
      <c r="W15" s="122">
        <f t="shared" si="5"/>
        <v>-2475.1689666221182</v>
      </c>
      <c r="X15" s="21"/>
      <c r="Y15" s="45" t="s">
        <v>54</v>
      </c>
      <c r="Z15" s="170">
        <v>1.5087122094868857E-2</v>
      </c>
      <c r="AA15" s="170">
        <v>6.7943215523670912E-3</v>
      </c>
      <c r="AB15" s="170">
        <v>1.5981735159817351E-2</v>
      </c>
      <c r="AC15" s="170">
        <v>2.1925147744564243E-2</v>
      </c>
      <c r="AD15" s="171">
        <v>2.1075955889930949E-2</v>
      </c>
      <c r="AE15" s="62">
        <f>SUM(Z15*'Översikt fördelning'!$C$32)</f>
        <v>21265.163859988232</v>
      </c>
      <c r="AF15" s="5">
        <f>SUM(AA15*'Översikt fördelning'!$C$33)</f>
        <v>1665.4844439374347</v>
      </c>
      <c r="AG15" s="5">
        <f>SUM(AB15*'Översikt fördelning'!$C$34)</f>
        <v>3134.0678936845979</v>
      </c>
      <c r="AH15" s="5">
        <f>SUM(AC15*'Översikt fördelning'!$C$35)</f>
        <v>6986.8330316135398</v>
      </c>
      <c r="AI15" s="5">
        <f>SUM(AD15*'Översikt fördelning'!$C$36)</f>
        <v>5941.2743223930484</v>
      </c>
      <c r="AJ15" s="63">
        <f>SUM(AE15:AI15)</f>
        <v>38992.82355161685</v>
      </c>
      <c r="AL15" s="3" t="s">
        <v>54</v>
      </c>
      <c r="AM15" s="4">
        <f t="shared" si="9"/>
        <v>-6969.5986331592339</v>
      </c>
      <c r="AN15" s="17">
        <f t="shared" si="6"/>
        <v>-2475.1689666221182</v>
      </c>
      <c r="AO15" s="17">
        <f t="shared" si="7"/>
        <v>44749.033839503703</v>
      </c>
      <c r="AP15" s="17"/>
      <c r="AQ15" s="17">
        <f>AJ15</f>
        <v>38992.82355161685</v>
      </c>
      <c r="AR15" s="153">
        <f t="shared" si="2"/>
        <v>74297.089791339196</v>
      </c>
      <c r="AS15" s="181">
        <f t="shared" si="8"/>
        <v>1.9210177343327587E-2</v>
      </c>
      <c r="AT15" s="150">
        <f t="shared" si="3"/>
        <v>1.59070703067071E-2</v>
      </c>
      <c r="AU15" s="186"/>
      <c r="AV15" s="191"/>
    </row>
    <row r="16" spans="1:48" ht="11.25">
      <c r="A16" s="45" t="s">
        <v>55</v>
      </c>
      <c r="B16" s="95"/>
      <c r="C16" s="4">
        <f>3000</f>
        <v>3000</v>
      </c>
      <c r="D16" s="17"/>
      <c r="E16" s="17"/>
      <c r="F16" s="17"/>
      <c r="G16" s="17">
        <f>6833.9644423*1.031457</f>
        <v>7048.9404617614318</v>
      </c>
      <c r="H16" s="17">
        <f>5552.115563*1.031457</f>
        <v>5726.7684622652914</v>
      </c>
      <c r="I16" s="17">
        <f>983.0081326*1.031457</f>
        <v>1013.9306194271982</v>
      </c>
      <c r="J16" s="17"/>
      <c r="K16" s="17">
        <f>2572.16813*1.031457</f>
        <v>2653.08082286541</v>
      </c>
      <c r="L16" s="17">
        <f>4525.192671*1.031457</f>
        <v>4667.5416568516475</v>
      </c>
      <c r="M16" s="17">
        <f>3062.42076*1.031457</f>
        <v>3158.7553298473204</v>
      </c>
      <c r="N16" s="17">
        <v>-6781.0853109515647</v>
      </c>
      <c r="O16" s="17">
        <v>500</v>
      </c>
      <c r="P16" s="125">
        <f>20700*1.031457</f>
        <v>21351.159900000002</v>
      </c>
      <c r="Q16" s="17">
        <v>-822</v>
      </c>
      <c r="R16" s="57">
        <f t="shared" si="0"/>
        <v>41517.091942066734</v>
      </c>
      <c r="S16" s="98"/>
      <c r="T16" s="135">
        <f>1884.09892081*1.031457</f>
        <v>1943.3670205619203</v>
      </c>
      <c r="U16" s="160">
        <f>404.94130289*1.031457</f>
        <v>417.67954145501074</v>
      </c>
      <c r="V16" s="136">
        <v>1103.2530787542421</v>
      </c>
      <c r="W16" s="122">
        <f t="shared" si="5"/>
        <v>3464.2996407711735</v>
      </c>
      <c r="X16" s="21"/>
      <c r="Y16" s="45" t="s">
        <v>55</v>
      </c>
      <c r="Z16" s="170">
        <v>0.13442156274224079</v>
      </c>
      <c r="AA16" s="170">
        <v>2.5261792420675555E-2</v>
      </c>
      <c r="AB16" s="170">
        <v>0.1095890410958904</v>
      </c>
      <c r="AC16" s="170">
        <v>0.12057743227273235</v>
      </c>
      <c r="AD16" s="171">
        <v>0.12877460579202307</v>
      </c>
      <c r="AE16" s="62">
        <f>SUM(Z16*'Översikt fördelning'!$C$32)</f>
        <v>189465.99225849815</v>
      </c>
      <c r="AF16" s="5">
        <f>SUM(AA16*'Översikt fördelning'!$C$33)</f>
        <v>6192.3949254291274</v>
      </c>
      <c r="AG16" s="5">
        <f>SUM(AB16*'Översikt fördelning'!$C$34)</f>
        <v>21490.751270980101</v>
      </c>
      <c r="AH16" s="5">
        <f>SUM(AC16*'Översikt fördelning'!$C$35)</f>
        <v>38424.114468242755</v>
      </c>
      <c r="AI16" s="5">
        <f>SUM(AD16*'Översikt fördelning'!$C$36)</f>
        <v>36301.331373252389</v>
      </c>
      <c r="AJ16" s="63">
        <f>SUM(AE16:AI16)</f>
        <v>291874.58429640252</v>
      </c>
      <c r="AL16" s="3" t="s">
        <v>55</v>
      </c>
      <c r="AM16" s="4">
        <f t="shared" si="9"/>
        <v>41517.091942066734</v>
      </c>
      <c r="AN16" s="17">
        <f t="shared" si="6"/>
        <v>3464.2996407711735</v>
      </c>
      <c r="AO16" s="17">
        <f t="shared" si="7"/>
        <v>44749.033839503703</v>
      </c>
      <c r="AP16" s="17"/>
      <c r="AQ16" s="17">
        <f t="shared" si="10"/>
        <v>291874.58429640252</v>
      </c>
      <c r="AR16" s="153">
        <f t="shared" si="2"/>
        <v>381605.00971874414</v>
      </c>
      <c r="AS16" s="181">
        <f t="shared" si="8"/>
        <v>9.8667389697057309E-2</v>
      </c>
      <c r="AT16" s="150">
        <f t="shared" si="3"/>
        <v>0.11906984696806509</v>
      </c>
      <c r="AU16" s="186"/>
      <c r="AV16" s="191"/>
    </row>
    <row r="17" spans="1:48" ht="11.25">
      <c r="A17" s="45" t="s">
        <v>56</v>
      </c>
      <c r="B17" s="95"/>
      <c r="C17" s="4"/>
      <c r="D17" s="17"/>
      <c r="E17" s="17"/>
      <c r="F17" s="17"/>
      <c r="G17" s="17"/>
      <c r="H17" s="17"/>
      <c r="I17" s="17">
        <f>983.0081326*1.031457</f>
        <v>1013.9306194271982</v>
      </c>
      <c r="J17" s="17"/>
      <c r="K17" s="17">
        <f>1714.77876*1.031457</f>
        <v>1768.72055545332</v>
      </c>
      <c r="L17" s="17"/>
      <c r="M17" s="17"/>
      <c r="N17" s="17">
        <v>-2476.1235756656465</v>
      </c>
      <c r="O17" s="17"/>
      <c r="P17" s="125"/>
      <c r="Q17" s="17">
        <v>-488</v>
      </c>
      <c r="R17" s="57">
        <f t="shared" si="0"/>
        <v>-181.47240078512823</v>
      </c>
      <c r="S17" s="98"/>
      <c r="T17" s="135"/>
      <c r="U17" s="160">
        <f>-242.48697489*1.031457</f>
        <v>-250.11488765911474</v>
      </c>
      <c r="V17" s="136">
        <v>-778.55386848631099</v>
      </c>
      <c r="W17" s="122">
        <f>SUM(T17:V17)</f>
        <v>-1028.6687561454257</v>
      </c>
      <c r="X17" s="21"/>
      <c r="Y17" s="45" t="s">
        <v>56</v>
      </c>
      <c r="Z17" s="170">
        <v>3.2581207570439204E-2</v>
      </c>
      <c r="AA17" s="170">
        <v>1.2711423655043049E-2</v>
      </c>
      <c r="AB17" s="170">
        <v>2.2831050228310501E-2</v>
      </c>
      <c r="AC17" s="170">
        <v>3.1872033320781194E-2</v>
      </c>
      <c r="AD17" s="171">
        <v>4.8627572228520391E-2</v>
      </c>
      <c r="AE17" s="62">
        <f>SUM(Z17*'Översikt fördelning'!$C$32)</f>
        <v>45922.921110137751</v>
      </c>
      <c r="AF17" s="5">
        <f>SUM(AA17*'Översikt fördelning'!$C$33)</f>
        <v>3115.9370651800864</v>
      </c>
      <c r="AG17" s="5">
        <f>SUM(AB17*'Översikt fördelning'!$C$34)</f>
        <v>4477.2398481208547</v>
      </c>
      <c r="AH17" s="5">
        <f>SUM(AC17*'Översikt fördelning'!$C$35)</f>
        <v>10156.582650419319</v>
      </c>
      <c r="AI17" s="5">
        <f>SUM(AD17*'Översikt fördelning'!$C$36)</f>
        <v>13708.0257593274</v>
      </c>
      <c r="AJ17" s="63">
        <f t="shared" si="1"/>
        <v>77380.706433185405</v>
      </c>
      <c r="AL17" s="3" t="s">
        <v>56</v>
      </c>
      <c r="AM17" s="4">
        <f t="shared" si="9"/>
        <v>-181.47240078512823</v>
      </c>
      <c r="AN17" s="17">
        <f>SUM(W17)</f>
        <v>-1028.6687561454257</v>
      </c>
      <c r="AO17" s="17">
        <f t="shared" si="7"/>
        <v>44749.033839503703</v>
      </c>
      <c r="AP17" s="17">
        <v>1000</v>
      </c>
      <c r="AQ17" s="17">
        <f t="shared" si="10"/>
        <v>77380.706433185405</v>
      </c>
      <c r="AR17" s="153">
        <f t="shared" si="2"/>
        <v>121919.59911575855</v>
      </c>
      <c r="AS17" s="181">
        <f t="shared" si="8"/>
        <v>3.1523403234485034E-2</v>
      </c>
      <c r="AT17" s="150">
        <f t="shared" si="3"/>
        <v>3.1567355874753081E-2</v>
      </c>
      <c r="AU17" s="186"/>
      <c r="AV17" s="191"/>
    </row>
    <row r="18" spans="1:48" ht="11.25">
      <c r="A18" s="45" t="s">
        <v>57</v>
      </c>
      <c r="B18" s="17">
        <f>(1007.896236*1.0031457)+(3000)+(5050*1.0031457)+(101000)</f>
        <v>110076.95256018959</v>
      </c>
      <c r="C18" s="4">
        <f>15000</f>
        <v>15000</v>
      </c>
      <c r="D18" s="17"/>
      <c r="E18" s="17">
        <f>997.768152*1.031457</f>
        <v>1029.1549447574641</v>
      </c>
      <c r="F18" s="17"/>
      <c r="G18" s="17">
        <f>6833.9644423*1.031457</f>
        <v>7048.9404617614318</v>
      </c>
      <c r="H18" s="17"/>
      <c r="I18" s="17">
        <f>2808.594665*1.031457</f>
        <v>2896.9446273769054</v>
      </c>
      <c r="J18" s="17">
        <f>2375.755414*1.031457</f>
        <v>2450.4895520581986</v>
      </c>
      <c r="K18" s="17">
        <f>2572.16813*1.031457</f>
        <v>2653.08082286541</v>
      </c>
      <c r="L18" s="17">
        <f>4525.192671*1.031457</f>
        <v>4667.5416568516475</v>
      </c>
      <c r="M18" s="17">
        <f>4083.22768*1.031457</f>
        <v>4211.6737731297599</v>
      </c>
      <c r="N18" s="17">
        <v>-8198.948603241437</v>
      </c>
      <c r="O18" s="17">
        <v>500</v>
      </c>
      <c r="P18" s="125">
        <f>20700*1.031457</f>
        <v>21351.159900000002</v>
      </c>
      <c r="Q18" s="17">
        <v>-791</v>
      </c>
      <c r="R18" s="57">
        <f t="shared" si="0"/>
        <v>162895.98969574898</v>
      </c>
      <c r="S18" s="98"/>
      <c r="T18" s="135"/>
      <c r="U18" s="160">
        <f>361.93868666*1.031457</f>
        <v>373.32419192626361</v>
      </c>
      <c r="V18" s="136">
        <v>778.55386848631099</v>
      </c>
      <c r="W18" s="122">
        <f t="shared" si="5"/>
        <v>1151.8780604125745</v>
      </c>
      <c r="X18" s="21"/>
      <c r="Y18" s="45" t="s">
        <v>57</v>
      </c>
      <c r="Z18" s="170">
        <v>0.16714790093784607</v>
      </c>
      <c r="AA18" s="170">
        <v>6.4318742958318617E-2</v>
      </c>
      <c r="AB18" s="170">
        <v>0.16894977168949771</v>
      </c>
      <c r="AC18" s="170">
        <v>0.14412364336548358</v>
      </c>
      <c r="AD18" s="171">
        <v>0.19114363255350578</v>
      </c>
      <c r="AE18" s="62">
        <f>SUM(Z18*'Översikt fördelning'!$C$32)</f>
        <v>235593.47368874552</v>
      </c>
      <c r="AF18" s="5">
        <f>SUM(AA18*'Översikt fördelning'!$C$33)</f>
        <v>15766.381532732963</v>
      </c>
      <c r="AG18" s="5">
        <f>SUM(AB18*'Översikt fördelning'!$C$34)</f>
        <v>33131.574876094324</v>
      </c>
      <c r="AH18" s="5">
        <f>SUM(AC18*'Översikt fördelning'!$C$35)</f>
        <v>45927.527779241587</v>
      </c>
      <c r="AI18" s="5">
        <f>SUM(AD18*'Översikt fördelning'!$C$36)</f>
        <v>53883.048622322603</v>
      </c>
      <c r="AJ18" s="63">
        <f>SUM(AE18:AI18)</f>
        <v>384302.00649913703</v>
      </c>
      <c r="AL18" s="3" t="s">
        <v>57</v>
      </c>
      <c r="AM18" s="4">
        <f t="shared" si="9"/>
        <v>162895.98969574898</v>
      </c>
      <c r="AN18" s="17">
        <f t="shared" si="6"/>
        <v>1151.8780604125745</v>
      </c>
      <c r="AO18" s="17">
        <f t="shared" si="7"/>
        <v>44749.033839503703</v>
      </c>
      <c r="AP18" s="17">
        <v>1000</v>
      </c>
      <c r="AQ18" s="17">
        <f t="shared" si="10"/>
        <v>384302.00649913703</v>
      </c>
      <c r="AR18" s="153">
        <f t="shared" si="2"/>
        <v>594098.90809480229</v>
      </c>
      <c r="AS18" s="181">
        <f t="shared" si="8"/>
        <v>0.15360958842440167</v>
      </c>
      <c r="AT18" s="150">
        <f t="shared" si="3"/>
        <v>0.1567754904514192</v>
      </c>
      <c r="AU18" s="186"/>
      <c r="AV18" s="191"/>
    </row>
    <row r="19" spans="1:48" ht="11.25">
      <c r="A19" s="45" t="s">
        <v>58</v>
      </c>
      <c r="C19" s="4"/>
      <c r="D19" s="17"/>
      <c r="E19" s="17">
        <f>1340.75095491064*1.031457</f>
        <v>1382.9269576992642</v>
      </c>
      <c r="F19" s="17"/>
      <c r="G19" s="17"/>
      <c r="H19" s="17"/>
      <c r="I19" s="17"/>
      <c r="J19" s="17"/>
      <c r="K19" s="17">
        <f>1714.77876*1.031457</f>
        <v>1768.72055545332</v>
      </c>
      <c r="L19" s="17"/>
      <c r="M19" s="17"/>
      <c r="N19" s="17">
        <v>-4225.8490733248154</v>
      </c>
      <c r="O19" s="17"/>
      <c r="P19" s="125"/>
      <c r="Q19" s="17">
        <v>-551</v>
      </c>
      <c r="R19" s="57">
        <f t="shared" si="0"/>
        <v>-1625.2015601722314</v>
      </c>
      <c r="S19" s="98"/>
      <c r="T19" s="135">
        <f>-1747.17993091*1.031457</f>
        <v>-1802.1409699966359</v>
      </c>
      <c r="U19" s="160">
        <f>-775.24160937*1.031457</f>
        <v>-799.62838467595213</v>
      </c>
      <c r="V19" s="136">
        <v>-1052.5565477830471</v>
      </c>
      <c r="W19" s="122">
        <f t="shared" si="5"/>
        <v>-3654.3259024556355</v>
      </c>
      <c r="X19" s="21"/>
      <c r="Y19" s="45" t="s">
        <v>58</v>
      </c>
      <c r="Z19" s="170">
        <v>2.698992430397177E-2</v>
      </c>
      <c r="AA19" s="170">
        <v>4.869872074677975E-2</v>
      </c>
      <c r="AB19" s="170">
        <v>5.4794520547945202E-2</v>
      </c>
      <c r="AC19" s="170">
        <v>5.0484747501723076E-2</v>
      </c>
      <c r="AD19" s="171">
        <v>5.0482668590470299E-2</v>
      </c>
      <c r="AE19" s="62">
        <f>SUM(Z19*'Översikt fördelning'!$C$32)</f>
        <v>38042.057277964079</v>
      </c>
      <c r="AF19" s="5">
        <f>SUM(AA19*'Översikt fördelning'!$C$33)</f>
        <v>11937.462956129566</v>
      </c>
      <c r="AG19" s="5">
        <f>SUM(AB19*'Översikt fördelning'!$C$34)</f>
        <v>10745.375635490051</v>
      </c>
      <c r="AH19" s="5">
        <f>SUM(AC19*'Översikt fördelning'!$C$35)</f>
        <v>16087.850606395918</v>
      </c>
      <c r="AI19" s="5">
        <f>SUM(AD19*'Översikt fördelning'!$C$36)</f>
        <v>14230.974110442679</v>
      </c>
      <c r="AJ19" s="63">
        <f t="shared" si="1"/>
        <v>91043.720586422292</v>
      </c>
      <c r="AL19" s="3" t="s">
        <v>58</v>
      </c>
      <c r="AM19" s="4">
        <f t="shared" si="9"/>
        <v>-1625.2015601722314</v>
      </c>
      <c r="AN19" s="17">
        <f t="shared" si="6"/>
        <v>-3654.3259024556355</v>
      </c>
      <c r="AO19" s="17">
        <f t="shared" si="7"/>
        <v>44749.033839503703</v>
      </c>
      <c r="AP19" s="17"/>
      <c r="AQ19" s="17">
        <f t="shared" si="10"/>
        <v>91043.720586422292</v>
      </c>
      <c r="AR19" s="153">
        <f t="shared" si="2"/>
        <v>130513.22696329813</v>
      </c>
      <c r="AS19" s="181">
        <f t="shared" si="8"/>
        <v>3.374536260647968E-2</v>
      </c>
      <c r="AT19" s="150">
        <f t="shared" si="3"/>
        <v>3.7141164256425441E-2</v>
      </c>
      <c r="AU19" s="186"/>
      <c r="AV19" s="191"/>
    </row>
    <row r="20" spans="1:48" ht="11.25">
      <c r="A20" s="45" t="s">
        <v>59</v>
      </c>
      <c r="B20" s="17">
        <f>(1003.712247*1.031457)+(9431.28316*1.031457 )+(530.8195*1.031457)+(11000*1.031457)</f>
        <v>22656.793546529501</v>
      </c>
      <c r="C20" s="4"/>
      <c r="D20" s="17"/>
      <c r="E20" s="17">
        <f>1340.75095491064*1.031457</f>
        <v>1382.9269576992642</v>
      </c>
      <c r="F20" s="17"/>
      <c r="G20" s="17"/>
      <c r="H20" s="17"/>
      <c r="I20" s="17"/>
      <c r="J20" s="17"/>
      <c r="K20" s="17">
        <f>1714.77876*1.031457</f>
        <v>1768.72055545332</v>
      </c>
      <c r="L20" s="17"/>
      <c r="M20" s="17"/>
      <c r="N20" s="17">
        <v>-3494.3138094767078</v>
      </c>
      <c r="O20" s="17"/>
      <c r="P20" s="125">
        <f>22600*1.031457</f>
        <v>23310.928200000002</v>
      </c>
      <c r="Q20" s="17">
        <v>-627</v>
      </c>
      <c r="R20" s="57">
        <f t="shared" si="0"/>
        <v>44998.055450205378</v>
      </c>
      <c r="S20" s="98"/>
      <c r="T20" s="135">
        <f>1747.17993091*1.031457</f>
        <v>1802.1409699966359</v>
      </c>
      <c r="U20" s="160">
        <f>-175.5940163*1.031457</f>
        <v>-181.11767727074911</v>
      </c>
      <c r="V20" s="136">
        <v>-725.44321699267198</v>
      </c>
      <c r="W20" s="122">
        <f t="shared" si="5"/>
        <v>895.58007573321493</v>
      </c>
      <c r="X20" s="21"/>
      <c r="Y20" s="45" t="s">
        <v>59</v>
      </c>
      <c r="Z20" s="170">
        <v>2.9251566973554102E-2</v>
      </c>
      <c r="AA20" s="170">
        <v>2.1529502926858599E-2</v>
      </c>
      <c r="AB20" s="170">
        <v>4.3378995433789952E-2</v>
      </c>
      <c r="AC20" s="170">
        <v>4.0908310660399912E-2</v>
      </c>
      <c r="AD20" s="171">
        <v>3.6140025421690883E-2</v>
      </c>
      <c r="AE20" s="62">
        <f>SUM(Z20*'Översikt fördelning'!$C$32)</f>
        <v>41229.822423562415</v>
      </c>
      <c r="AF20" s="5">
        <f>SUM(AA20*'Översikt fördelning'!$C$33)</f>
        <v>5277.5029756865324</v>
      </c>
      <c r="AG20" s="5">
        <f>SUM(AB20*'Översikt fördelning'!$C$34)</f>
        <v>8506.7557114296233</v>
      </c>
      <c r="AH20" s="5">
        <f>SUM(AC20*'Översikt fördelning'!$C$35)</f>
        <v>13036.150976927933</v>
      </c>
      <c r="AI20" s="5">
        <f>SUM(AD20*'Översikt fördelning'!$C$36)</f>
        <v>10187.808618023613</v>
      </c>
      <c r="AJ20" s="63">
        <f t="shared" si="1"/>
        <v>78238.040705630119</v>
      </c>
      <c r="AL20" s="3" t="s">
        <v>59</v>
      </c>
      <c r="AM20" s="4">
        <f t="shared" si="9"/>
        <v>44998.055450205378</v>
      </c>
      <c r="AN20" s="17">
        <f t="shared" si="6"/>
        <v>895.58007573321493</v>
      </c>
      <c r="AO20" s="17">
        <f t="shared" si="7"/>
        <v>44749.033839503703</v>
      </c>
      <c r="AP20" s="17">
        <f>100+1000+200+15000</f>
        <v>16300</v>
      </c>
      <c r="AQ20" s="17">
        <f>AJ20</f>
        <v>78238.040705630119</v>
      </c>
      <c r="AR20" s="153">
        <f t="shared" si="2"/>
        <v>185180.71007107242</v>
      </c>
      <c r="AS20" s="181">
        <f t="shared" si="8"/>
        <v>4.7880129504659419E-2</v>
      </c>
      <c r="AT20" s="150">
        <f t="shared" si="3"/>
        <v>3.1917104246529104E-2</v>
      </c>
      <c r="AU20" s="186"/>
      <c r="AV20" s="191"/>
    </row>
    <row r="21" spans="1:48" ht="11.25">
      <c r="A21" s="45" t="s">
        <v>60</v>
      </c>
      <c r="B21" s="95"/>
      <c r="C21" s="4"/>
      <c r="D21" s="17"/>
      <c r="E21" s="17">
        <f>997.768152*1.031457</f>
        <v>1029.1549447574641</v>
      </c>
      <c r="F21" s="17"/>
      <c r="G21" s="17"/>
      <c r="H21" s="17"/>
      <c r="I21" s="17"/>
      <c r="J21" s="17"/>
      <c r="K21" s="17">
        <f>1714.77876*1.031457</f>
        <v>1768.72055545332</v>
      </c>
      <c r="L21" s="17"/>
      <c r="M21" s="17"/>
      <c r="N21" s="17">
        <v>-4884.4362982217781</v>
      </c>
      <c r="O21" s="17"/>
      <c r="P21" s="125"/>
      <c r="Q21" s="17">
        <v>-564</v>
      </c>
      <c r="R21" s="57">
        <f t="shared" si="0"/>
        <v>-2650.5607980109939</v>
      </c>
      <c r="S21" s="98"/>
      <c r="T21" s="135">
        <f>-1460.46922557*1.031457</f>
        <v>-1506.4112059987556</v>
      </c>
      <c r="U21" s="160">
        <f>-265.18280013*1.031457</f>
        <v>-273.52465547368939</v>
      </c>
      <c r="V21" s="136">
        <v>-461.09701978569063</v>
      </c>
      <c r="W21" s="122">
        <f t="shared" si="5"/>
        <v>-2241.0328812581356</v>
      </c>
      <c r="X21" s="21"/>
      <c r="Y21" s="45" t="s">
        <v>60</v>
      </c>
      <c r="Z21" s="170">
        <v>2.667979907154417E-2</v>
      </c>
      <c r="AA21" s="170">
        <v>1.2647479991623184E-2</v>
      </c>
      <c r="AB21" s="170">
        <v>2.7397260273972601E-2</v>
      </c>
      <c r="AC21" s="170">
        <v>3.1981936463618771E-2</v>
      </c>
      <c r="AD21" s="171">
        <v>2.511250815898863E-2</v>
      </c>
      <c r="AE21" s="62">
        <f>SUM(Z21*'Översikt fördelning'!$C$32)</f>
        <v>37604.938532372915</v>
      </c>
      <c r="AF21" s="5">
        <f>SUM(AA21*'Översikt fördelning'!$C$33)</f>
        <v>3100.2626264751575</v>
      </c>
      <c r="AG21" s="5">
        <f>SUM(AB21*'Översikt fördelning'!$C$34)</f>
        <v>5372.6878177450253</v>
      </c>
      <c r="AH21" s="5">
        <f>SUM(AC21*'Översikt fördelning'!$C$35)</f>
        <v>10191.605215265938</v>
      </c>
      <c r="AI21" s="5">
        <f>SUM(AD21*'Översikt fördelning'!$C$36)</f>
        <v>7079.1711975050021</v>
      </c>
      <c r="AJ21" s="63">
        <f t="shared" si="1"/>
        <v>63348.665389364047</v>
      </c>
      <c r="AL21" s="3" t="s">
        <v>60</v>
      </c>
      <c r="AM21" s="4">
        <f t="shared" si="9"/>
        <v>-2650.5607980109939</v>
      </c>
      <c r="AN21" s="17">
        <f t="shared" si="6"/>
        <v>-2241.0328812581356</v>
      </c>
      <c r="AO21" s="17">
        <f t="shared" si="7"/>
        <v>44749.033839503703</v>
      </c>
      <c r="AP21" s="17">
        <f>30000+750</f>
        <v>30750</v>
      </c>
      <c r="AQ21" s="17">
        <f t="shared" si="10"/>
        <v>63348.665389364047</v>
      </c>
      <c r="AR21" s="153">
        <f>SUM(AM21:AQ21)</f>
        <v>133956.10554959864</v>
      </c>
      <c r="AS21" s="181">
        <f t="shared" si="8"/>
        <v>3.4635549670335407E-2</v>
      </c>
      <c r="AT21" s="150">
        <f>AQ21/$AQ$28</f>
        <v>2.584300346577216E-2</v>
      </c>
      <c r="AU21" s="186"/>
      <c r="AV21" s="191"/>
    </row>
    <row r="22" spans="1:48" ht="11.25">
      <c r="A22" s="45" t="s">
        <v>61</v>
      </c>
      <c r="B22" s="95"/>
      <c r="C22" s="4"/>
      <c r="D22" s="17"/>
      <c r="E22" s="17">
        <f t="shared" ref="E22:E27" si="11">1340.75095491064*1.031457</f>
        <v>1382.9269576992642</v>
      </c>
      <c r="F22" s="17"/>
      <c r="G22" s="17"/>
      <c r="H22" s="17"/>
      <c r="I22" s="17"/>
      <c r="J22" s="17"/>
      <c r="K22" s="17">
        <f t="shared" ref="K22:K27" si="12">1714.77876*1.031457</f>
        <v>1768.72055545332</v>
      </c>
      <c r="L22" s="17"/>
      <c r="M22" s="17"/>
      <c r="N22" s="17">
        <v>-4745.7322804977684</v>
      </c>
      <c r="O22" s="17"/>
      <c r="P22" s="125"/>
      <c r="Q22" s="17">
        <v>-586</v>
      </c>
      <c r="R22" s="57">
        <f t="shared" si="0"/>
        <v>-2180.0847673451844</v>
      </c>
      <c r="S22" s="98"/>
      <c r="T22" s="135">
        <f>1485.04442889*1.031457</f>
        <v>1531.7594714895929</v>
      </c>
      <c r="U22" s="160">
        <f>986.6711392*1.031457</f>
        <v>1017.7088532258144</v>
      </c>
      <c r="V22" s="136">
        <v>2356.1816298996537</v>
      </c>
      <c r="W22" s="122">
        <f t="shared" si="5"/>
        <v>4905.6499546150608</v>
      </c>
      <c r="X22" s="21"/>
      <c r="Y22" s="45" t="s">
        <v>61</v>
      </c>
      <c r="Z22" s="170">
        <v>2.7401840564266349E-2</v>
      </c>
      <c r="AA22" s="170">
        <v>6.754755153432386E-2</v>
      </c>
      <c r="AB22" s="170">
        <v>5.9360730593607303E-2</v>
      </c>
      <c r="AC22" s="170">
        <v>3.8618902745626536E-2</v>
      </c>
      <c r="AD22" s="171">
        <v>3.1072864062661031E-2</v>
      </c>
      <c r="AE22" s="62">
        <f>SUM(Z22*'Översikt fördelning'!$C$32)</f>
        <v>38622.64956830797</v>
      </c>
      <c r="AF22" s="5">
        <f>SUM(AA22*'Översikt fördelning'!$C$33)</f>
        <v>16557.855768142828</v>
      </c>
      <c r="AG22" s="5">
        <f>SUM(AB22*'Översikt fördelning'!$C$34)</f>
        <v>11640.823605114221</v>
      </c>
      <c r="AH22" s="5">
        <f>SUM(AC22*'Översikt fördelning'!$C$35)</f>
        <v>12306.590974499133</v>
      </c>
      <c r="AI22" s="5">
        <f>SUM(AD22*'Översikt fördelning'!$C$36)</f>
        <v>8759.3848811809494</v>
      </c>
      <c r="AJ22" s="63">
        <f t="shared" si="1"/>
        <v>87887.304797245102</v>
      </c>
      <c r="AL22" s="3" t="s">
        <v>61</v>
      </c>
      <c r="AM22" s="4">
        <f t="shared" si="9"/>
        <v>-2180.0847673451844</v>
      </c>
      <c r="AN22" s="17">
        <f t="shared" si="6"/>
        <v>4905.6499546150608</v>
      </c>
      <c r="AO22" s="17">
        <f t="shared" si="7"/>
        <v>44749.033839503703</v>
      </c>
      <c r="AP22" s="17"/>
      <c r="AQ22" s="17">
        <f t="shared" si="10"/>
        <v>87887.304797245102</v>
      </c>
      <c r="AR22" s="153">
        <f t="shared" si="2"/>
        <v>135361.90382401866</v>
      </c>
      <c r="AS22" s="181">
        <f t="shared" si="8"/>
        <v>3.499903139265316E-2</v>
      </c>
      <c r="AT22" s="150">
        <f t="shared" si="3"/>
        <v>3.585350864951159E-2</v>
      </c>
      <c r="AU22" s="186"/>
      <c r="AV22" s="191"/>
    </row>
    <row r="23" spans="1:48" ht="11.25">
      <c r="A23" s="45" t="s">
        <v>62</v>
      </c>
      <c r="B23" s="95"/>
      <c r="C23" s="4"/>
      <c r="D23" s="17"/>
      <c r="E23" s="17">
        <f t="shared" si="11"/>
        <v>1382.9269576992642</v>
      </c>
      <c r="F23" s="17"/>
      <c r="G23" s="17"/>
      <c r="H23" s="17"/>
      <c r="I23" s="17">
        <f>983.0081326*1.031457</f>
        <v>1013.9306194271982</v>
      </c>
      <c r="J23" s="17"/>
      <c r="K23" s="17">
        <f t="shared" si="12"/>
        <v>1768.72055545332</v>
      </c>
      <c r="L23" s="17">
        <f>3939.844988*1.031457</f>
        <v>4063.7806917875159</v>
      </c>
      <c r="M23" s="17"/>
      <c r="N23" s="17">
        <v>-4756.0066521810286</v>
      </c>
      <c r="O23" s="17"/>
      <c r="P23" s="125"/>
      <c r="Q23" s="17">
        <v>-450</v>
      </c>
      <c r="R23" s="57">
        <f t="shared" si="0"/>
        <v>3023.3521721862699</v>
      </c>
      <c r="S23" s="98"/>
      <c r="T23" s="135">
        <f>-1485.04442889*1.031457</f>
        <v>-1531.7594714895929</v>
      </c>
      <c r="U23" s="160">
        <f>-333.27027583*1.031457</f>
        <v>-343.75395889678435</v>
      </c>
      <c r="V23" s="136">
        <v>-578.18186512394254</v>
      </c>
      <c r="W23" s="122">
        <f t="shared" si="5"/>
        <v>-2453.6952955103197</v>
      </c>
      <c r="X23" s="21"/>
      <c r="Y23" s="45" t="s">
        <v>62</v>
      </c>
      <c r="Z23" s="170">
        <v>2.7309078619170018E-2</v>
      </c>
      <c r="AA23" s="170">
        <v>4.3861598287624023E-2</v>
      </c>
      <c r="AB23" s="170">
        <v>3.8812785388127852E-2</v>
      </c>
      <c r="AC23" s="170">
        <v>4.2790620072097191E-2</v>
      </c>
      <c r="AD23" s="171">
        <v>3.2292418152461436E-2</v>
      </c>
      <c r="AE23" s="62">
        <f>SUM(Z23*'Översikt fördelning'!$C$32)</f>
        <v>38491.902435087934</v>
      </c>
      <c r="AF23" s="5">
        <f>SUM(AA23*'Översikt fördelning'!$C$33)</f>
        <v>10751.744537145179</v>
      </c>
      <c r="AG23" s="5">
        <f>SUM(AB23*'Översikt fördelning'!$C$34)</f>
        <v>7611.3077418054527</v>
      </c>
      <c r="AH23" s="5">
        <f>SUM(AC23*'Översikt fördelning'!$C$35)</f>
        <v>13635.981898323851</v>
      </c>
      <c r="AI23" s="5">
        <f>SUM(AD23*'Översikt fördelning'!$C$36)</f>
        <v>9103.1750008956242</v>
      </c>
      <c r="AJ23" s="63">
        <f t="shared" si="1"/>
        <v>79594.11161325805</v>
      </c>
      <c r="AL23" s="3" t="s">
        <v>62</v>
      </c>
      <c r="AM23" s="4">
        <f t="shared" si="9"/>
        <v>3023.3521721862699</v>
      </c>
      <c r="AN23" s="17">
        <f t="shared" si="6"/>
        <v>-2453.6952955103197</v>
      </c>
      <c r="AO23" s="17">
        <f t="shared" si="7"/>
        <v>44749.033839503703</v>
      </c>
      <c r="AP23" s="17">
        <f>3000+2400+300</f>
        <v>5700</v>
      </c>
      <c r="AQ23" s="17">
        <f t="shared" si="10"/>
        <v>79594.11161325805</v>
      </c>
      <c r="AR23" s="153">
        <f t="shared" si="2"/>
        <v>130612.80232943771</v>
      </c>
      <c r="AS23" s="181">
        <f t="shared" si="8"/>
        <v>3.3771108708351774E-2</v>
      </c>
      <c r="AT23" s="150">
        <f t="shared" si="3"/>
        <v>3.2470311562741092E-2</v>
      </c>
      <c r="AU23" s="186"/>
      <c r="AV23" s="191"/>
    </row>
    <row r="24" spans="1:48" ht="11.25">
      <c r="A24" s="45" t="s">
        <v>63</v>
      </c>
      <c r="B24" s="17">
        <v>5700</v>
      </c>
      <c r="C24" s="4"/>
      <c r="D24" s="17"/>
      <c r="E24" s="17">
        <f t="shared" si="11"/>
        <v>1382.9269576992642</v>
      </c>
      <c r="F24" s="17"/>
      <c r="G24" s="17"/>
      <c r="H24" s="17"/>
      <c r="I24" s="17">
        <f>1966.016265*1.031457</f>
        <v>2027.8612386481052</v>
      </c>
      <c r="J24" s="17">
        <f>2972.87041*1.031457</f>
        <v>3066.3879944873702</v>
      </c>
      <c r="K24" s="17">
        <f t="shared" si="12"/>
        <v>1768.72055545332</v>
      </c>
      <c r="L24" s="17"/>
      <c r="M24" s="17"/>
      <c r="N24" s="17">
        <v>-9915.7961115141734</v>
      </c>
      <c r="O24" s="17"/>
      <c r="P24" s="125"/>
      <c r="Q24" s="17">
        <v>-513</v>
      </c>
      <c r="R24" s="57">
        <f t="shared" si="0"/>
        <v>3517.1006347738858</v>
      </c>
      <c r="S24" s="98"/>
      <c r="T24" s="135">
        <f>1825.58653197*1.031457</f>
        <v>1883.0140075061804</v>
      </c>
      <c r="U24" s="160">
        <f>250.84859471*1.031457</f>
        <v>258.73953895379248</v>
      </c>
      <c r="V24" s="136">
        <v>618.01485374417189</v>
      </c>
      <c r="W24" s="122">
        <f t="shared" si="5"/>
        <v>2759.7684002041447</v>
      </c>
      <c r="X24" s="21"/>
      <c r="Y24" s="45" t="s">
        <v>63</v>
      </c>
      <c r="Z24" s="170">
        <v>2.3120629686331565E-2</v>
      </c>
      <c r="AA24" s="170">
        <v>5.1307134981922131E-2</v>
      </c>
      <c r="AB24" s="170">
        <v>2.5114155251141551E-2</v>
      </c>
      <c r="AC24" s="170">
        <v>5.86908975226621E-2</v>
      </c>
      <c r="AD24" s="171">
        <v>3.1124394517159641E-2</v>
      </c>
      <c r="AE24" s="62">
        <f>SUM(Z24*'Översikt fördelning'!$C$32)</f>
        <v>32588.321068413992</v>
      </c>
      <c r="AF24" s="5">
        <f>SUM(AA24*'Översikt fördelning'!$C$33)</f>
        <v>12576.860620560254</v>
      </c>
      <c r="AG24" s="5">
        <f>SUM(AB24*'Översikt fördelning'!$C$34)</f>
        <v>4924.96383293294</v>
      </c>
      <c r="AH24" s="5">
        <f>SUM(AC24*'Översikt fördelning'!$C$35)</f>
        <v>18702.884297235589</v>
      </c>
      <c r="AI24" s="5">
        <f>SUM(AD24*'Översikt fördelning'!$C$36)</f>
        <v>8773.9112242674837</v>
      </c>
      <c r="AJ24" s="63">
        <f t="shared" si="1"/>
        <v>77566.941043410261</v>
      </c>
      <c r="AL24" s="3" t="s">
        <v>63</v>
      </c>
      <c r="AM24" s="4">
        <f t="shared" si="9"/>
        <v>3517.1006347738858</v>
      </c>
      <c r="AN24" s="17">
        <f t="shared" si="6"/>
        <v>2759.7684002041447</v>
      </c>
      <c r="AO24" s="17">
        <f t="shared" si="7"/>
        <v>44749.033839503703</v>
      </c>
      <c r="AP24" s="17">
        <f>400+1000</f>
        <v>1400</v>
      </c>
      <c r="AQ24" s="17">
        <f t="shared" si="10"/>
        <v>77566.941043410261</v>
      </c>
      <c r="AR24" s="153">
        <f t="shared" si="2"/>
        <v>129992.84391789199</v>
      </c>
      <c r="AS24" s="181">
        <f t="shared" si="8"/>
        <v>3.3610812913930643E-2</v>
      </c>
      <c r="AT24" s="150">
        <f t="shared" si="3"/>
        <v>3.1643330035343621E-2</v>
      </c>
      <c r="AU24" s="186"/>
      <c r="AV24" s="191"/>
    </row>
    <row r="25" spans="1:48" ht="11.25">
      <c r="A25" s="45" t="s">
        <v>64</v>
      </c>
      <c r="B25" s="95"/>
      <c r="C25" s="4"/>
      <c r="D25" s="17">
        <f>4306.726*1.031457</f>
        <v>4442.2026797819999</v>
      </c>
      <c r="E25" s="17">
        <f t="shared" si="11"/>
        <v>1382.9269576992642</v>
      </c>
      <c r="F25" s="17">
        <f>5405.65093*1.031457</f>
        <v>5575.6964913050106</v>
      </c>
      <c r="G25" s="17"/>
      <c r="H25" s="17"/>
      <c r="I25" s="17"/>
      <c r="J25" s="17"/>
      <c r="K25" s="17">
        <f t="shared" si="12"/>
        <v>1768.72055545332</v>
      </c>
      <c r="L25" s="17"/>
      <c r="M25" s="17"/>
      <c r="N25" s="17">
        <v>-5290.273979710546</v>
      </c>
      <c r="O25" s="17"/>
      <c r="P25" s="125"/>
      <c r="Q25" s="17">
        <v>-621</v>
      </c>
      <c r="R25" s="57">
        <f t="shared" si="0"/>
        <v>7258.2727045290485</v>
      </c>
      <c r="S25" s="98"/>
      <c r="T25" s="135">
        <f>-1825.58653197*1.031457</f>
        <v>-1883.0140075061804</v>
      </c>
      <c r="U25" s="160">
        <f>-332.07575872*1.031457</f>
        <v>-342.52186586205505</v>
      </c>
      <c r="V25" s="136">
        <v>-618.01485374417189</v>
      </c>
      <c r="W25" s="122">
        <f t="shared" si="5"/>
        <v>-2843.5507271124075</v>
      </c>
      <c r="X25" s="21"/>
      <c r="Y25" s="45" t="s">
        <v>64</v>
      </c>
      <c r="Z25" s="170">
        <v>1.2609351696650192E-2</v>
      </c>
      <c r="AA25" s="170">
        <v>0.12013773925512898</v>
      </c>
      <c r="AB25" s="170">
        <v>3.4246575342465752E-2</v>
      </c>
      <c r="AC25" s="170">
        <v>2.3887145367406937E-2</v>
      </c>
      <c r="AD25" s="171">
        <v>2.2364217252396165E-2</v>
      </c>
      <c r="AE25" s="62">
        <f>SUM(Z25*'Översikt fördelning'!$C$32)</f>
        <v>17772.768610965344</v>
      </c>
      <c r="AF25" s="5">
        <f>SUM(AA25*'Översikt fördelning'!$C$33)</f>
        <v>29449.229671727855</v>
      </c>
      <c r="AG25" s="5">
        <f>SUM(AB25*'Översikt fördelning'!$C$34)</f>
        <v>6715.8597721812812</v>
      </c>
      <c r="AH25" s="5">
        <f>SUM(AC25*'Översikt fördelning'!$C$35)</f>
        <v>7612.0579997154382</v>
      </c>
      <c r="AI25" s="5">
        <f>SUM(AD25*'Översikt fördelning'!$C$36)</f>
        <v>6304.4328995564374</v>
      </c>
      <c r="AJ25" s="63">
        <f t="shared" si="1"/>
        <v>67854.348954146364</v>
      </c>
      <c r="AL25" s="3" t="s">
        <v>64</v>
      </c>
      <c r="AM25" s="4">
        <f t="shared" si="9"/>
        <v>7258.2727045290485</v>
      </c>
      <c r="AN25" s="17">
        <f t="shared" si="6"/>
        <v>-2843.5507271124075</v>
      </c>
      <c r="AO25" s="17">
        <f t="shared" si="7"/>
        <v>44749.033839503703</v>
      </c>
      <c r="AP25" s="17">
        <v>834</v>
      </c>
      <c r="AQ25" s="17">
        <f t="shared" si="10"/>
        <v>67854.348954146364</v>
      </c>
      <c r="AR25" s="153">
        <f>SUM(AM25:AQ25)</f>
        <v>117852.1047710667</v>
      </c>
      <c r="AS25" s="181">
        <f t="shared" si="8"/>
        <v>3.047171617750934E-2</v>
      </c>
      <c r="AT25" s="150">
        <f t="shared" si="3"/>
        <v>2.7681091060272483E-2</v>
      </c>
      <c r="AU25" s="186"/>
      <c r="AV25" s="191"/>
    </row>
    <row r="26" spans="1:48" ht="11.25">
      <c r="A26" s="45" t="s">
        <v>65</v>
      </c>
      <c r="B26" s="95"/>
      <c r="C26" s="17"/>
      <c r="D26" s="17">
        <f>4583.614*1.031457</f>
        <v>4727.8007455979996</v>
      </c>
      <c r="E26" s="17">
        <f t="shared" si="11"/>
        <v>1382.9269576992642</v>
      </c>
      <c r="F26" s="125">
        <f>3347.371167*1.031457</f>
        <v>3452.669421800319</v>
      </c>
      <c r="G26" s="17"/>
      <c r="H26" s="17"/>
      <c r="I26" s="17">
        <f>983.0081326*1.031457</f>
        <v>1013.9306194271982</v>
      </c>
      <c r="J26" s="17"/>
      <c r="K26" s="17">
        <f t="shared" si="12"/>
        <v>1768.72055545332</v>
      </c>
      <c r="L26" s="17"/>
      <c r="M26" s="17"/>
      <c r="N26" s="17">
        <v>-8229.7717182912165</v>
      </c>
      <c r="O26" s="17"/>
      <c r="P26" s="125"/>
      <c r="Q26" s="17">
        <v>-636</v>
      </c>
      <c r="R26" s="57">
        <f t="shared" si="0"/>
        <v>3480.2765816868832</v>
      </c>
      <c r="S26" s="98"/>
      <c r="T26" s="135"/>
      <c r="U26" s="160">
        <f>-170.81594783*1.031457</f>
        <v>-176.18930510088833</v>
      </c>
      <c r="V26" s="136">
        <v>-732.68557855998586</v>
      </c>
      <c r="W26" s="122">
        <f t="shared" si="5"/>
        <v>-908.87488366087416</v>
      </c>
      <c r="X26" s="21"/>
      <c r="Y26" s="45" t="s">
        <v>65</v>
      </c>
      <c r="Z26" s="170">
        <v>2.6259899201220807E-2</v>
      </c>
      <c r="AA26" s="170">
        <v>0.13159377960691077</v>
      </c>
      <c r="AB26" s="170">
        <v>6.1643835616438353E-2</v>
      </c>
      <c r="AC26" s="170">
        <v>5.1579846942080392E-2</v>
      </c>
      <c r="AD26" s="171">
        <v>3.6758390875674188E-2</v>
      </c>
      <c r="AE26" s="62">
        <f>SUM(Z26*'Översikt fördelning'!$C$32)</f>
        <v>37013.093414989598</v>
      </c>
      <c r="AF26" s="5">
        <f>SUM(AA26*'Översikt fördelning'!$C$33)</f>
        <v>32257.436031693967</v>
      </c>
      <c r="AG26" s="5">
        <f>SUM(AB26*'Översikt fördelning'!$C$34)</f>
        <v>12088.547589926307</v>
      </c>
      <c r="AH26" s="5">
        <f>SUM(AC26*'Översikt fördelning'!$C$35)</f>
        <v>16436.823257888627</v>
      </c>
      <c r="AI26" s="5">
        <f>SUM(AD26*'Översikt fördelning'!$C$36)</f>
        <v>10362.12473506204</v>
      </c>
      <c r="AJ26" s="63">
        <f t="shared" si="1"/>
        <v>108158.02502956054</v>
      </c>
      <c r="AL26" s="64" t="s">
        <v>65</v>
      </c>
      <c r="AM26" s="17">
        <f t="shared" si="9"/>
        <v>3480.2765816868832</v>
      </c>
      <c r="AN26" s="17">
        <f t="shared" si="6"/>
        <v>-908.87488366087416</v>
      </c>
      <c r="AO26" s="17">
        <f t="shared" si="7"/>
        <v>44749.033839503703</v>
      </c>
      <c r="AP26" s="17">
        <f>833+2500+10000</f>
        <v>13333</v>
      </c>
      <c r="AQ26" s="17">
        <f t="shared" si="10"/>
        <v>108158.02502956054</v>
      </c>
      <c r="AR26" s="153">
        <f>SUM(AM26:AQ26)</f>
        <v>168811.46056709025</v>
      </c>
      <c r="AS26" s="181">
        <f t="shared" si="8"/>
        <v>4.364771358053892E-2</v>
      </c>
      <c r="AT26" s="150">
        <f t="shared" si="3"/>
        <v>4.412292190388109E-2</v>
      </c>
      <c r="AU26" s="186"/>
      <c r="AV26" s="191"/>
    </row>
    <row r="27" spans="1:48" ht="11.25">
      <c r="A27" s="45" t="s">
        <v>66</v>
      </c>
      <c r="B27" s="125"/>
      <c r="C27" s="17"/>
      <c r="D27" s="17">
        <f>6699.212*1.031457</f>
        <v>6909.9491118840006</v>
      </c>
      <c r="E27" s="17">
        <f t="shared" si="11"/>
        <v>1382.9269576992642</v>
      </c>
      <c r="F27" s="125">
        <f>6782.782329*1.031457</f>
        <v>6996.1483127233532</v>
      </c>
      <c r="G27" s="17"/>
      <c r="H27" s="17"/>
      <c r="I27" s="17">
        <f>983.0081326*1.031457</f>
        <v>1013.9306194271982</v>
      </c>
      <c r="J27" s="17">
        <f>3545.63497*1.031457</f>
        <v>3657.1700092512901</v>
      </c>
      <c r="K27" s="17">
        <f t="shared" si="12"/>
        <v>1768.72055545332</v>
      </c>
      <c r="L27" s="17">
        <f>3939.844988*1.031457</f>
        <v>4063.7806917875159</v>
      </c>
      <c r="M27" s="17">
        <f>3062.42076*1.031457</f>
        <v>3158.7553298473204</v>
      </c>
      <c r="N27" s="17">
        <v>-5249.1764929775063</v>
      </c>
      <c r="O27" s="17"/>
      <c r="P27" s="125">
        <f>22200*1.031457</f>
        <v>22898.345400000002</v>
      </c>
      <c r="Q27" s="17">
        <v>-594</v>
      </c>
      <c r="R27" s="57">
        <f t="shared" si="0"/>
        <v>46006.550495095762</v>
      </c>
      <c r="S27" s="98"/>
      <c r="T27" s="135"/>
      <c r="U27" s="160">
        <f>278.322488419502*1.031457</f>
        <v>287.07767893771432</v>
      </c>
      <c r="V27" s="136">
        <v>732.68557855998586</v>
      </c>
      <c r="W27" s="122">
        <f t="shared" si="5"/>
        <v>1019.7632574977001</v>
      </c>
      <c r="X27" s="21"/>
      <c r="Y27" s="45" t="s">
        <v>66</v>
      </c>
      <c r="Z27" s="170">
        <v>2.3682523763595423E-2</v>
      </c>
      <c r="AA27" s="170">
        <v>0.23518220144556043</v>
      </c>
      <c r="AB27" s="170">
        <v>5.0228310502283102E-2</v>
      </c>
      <c r="AC27" s="170">
        <v>4.785945895731214E-2</v>
      </c>
      <c r="AD27" s="171">
        <v>2.3996014978185442E-2</v>
      </c>
      <c r="AE27" s="62">
        <f>SUM(Z27*'Översikt fördelning'!$C$32)</f>
        <v>33380.305752427164</v>
      </c>
      <c r="AF27" s="5">
        <f>SUM(AA27*'Översikt fördelning'!$C$33)</f>
        <v>57649.950032476496</v>
      </c>
      <c r="AG27" s="5">
        <f>SUM(AB27*'Översikt fördelning'!$C$34)</f>
        <v>9849.92766586588</v>
      </c>
      <c r="AH27" s="5">
        <f>SUM(AC27*'Översikt fördelning'!$C$35)</f>
        <v>15251.256347907763</v>
      </c>
      <c r="AI27" s="5">
        <f>SUM(AD27*'Översikt fördelning'!$C$36)</f>
        <v>6764.4337639633977</v>
      </c>
      <c r="AJ27" s="63">
        <f t="shared" si="1"/>
        <v>122895.8735626407</v>
      </c>
      <c r="AL27" s="64" t="s">
        <v>66</v>
      </c>
      <c r="AM27" s="17">
        <f t="shared" si="9"/>
        <v>46006.550495095762</v>
      </c>
      <c r="AN27" s="17">
        <f t="shared" si="6"/>
        <v>1019.7632574977001</v>
      </c>
      <c r="AO27" s="17">
        <f>43384.2941*1.031457</f>
        <v>44749.033839503703</v>
      </c>
      <c r="AP27" s="17">
        <f>833+2500</f>
        <v>3333</v>
      </c>
      <c r="AQ27" s="17">
        <f t="shared" si="10"/>
        <v>122895.8735626407</v>
      </c>
      <c r="AR27" s="153">
        <f t="shared" si="2"/>
        <v>218004.22115473787</v>
      </c>
      <c r="AS27" s="181">
        <f t="shared" si="8"/>
        <v>5.6366941985723715E-2</v>
      </c>
      <c r="AT27" s="150">
        <f t="shared" si="3"/>
        <v>5.0135207535747968E-2</v>
      </c>
      <c r="AU27" s="186"/>
      <c r="AV27" s="191"/>
    </row>
    <row r="28" spans="1:48" ht="11.25">
      <c r="A28" s="65" t="s">
        <v>30</v>
      </c>
      <c r="B28" s="86">
        <f>SUM(B7:B27)</f>
        <v>180742.86207258655</v>
      </c>
      <c r="C28" s="68">
        <f>SUM(C7:C27)</f>
        <v>18000</v>
      </c>
      <c r="D28" s="86">
        <f>SUM(D7:D27)</f>
        <v>16079.952537264002</v>
      </c>
      <c r="E28" s="66">
        <f t="shared" ref="E28:P28" si="13">SUM(E7:E27)</f>
        <v>14150.880495866508</v>
      </c>
      <c r="F28" s="66">
        <f t="shared" si="13"/>
        <v>16024.514225828683</v>
      </c>
      <c r="G28" s="66">
        <f t="shared" si="13"/>
        <v>21146.821385284296</v>
      </c>
      <c r="H28" s="66">
        <f t="shared" si="13"/>
        <v>0</v>
      </c>
      <c r="I28" s="66">
        <f t="shared" si="13"/>
        <v>18105.903918372296</v>
      </c>
      <c r="J28" s="66">
        <f t="shared" si="13"/>
        <v>9174.0475557968603</v>
      </c>
      <c r="K28" s="66">
        <f t="shared" si="13"/>
        <v>39796.212466755998</v>
      </c>
      <c r="L28" s="66">
        <f t="shared" si="13"/>
        <v>22130.186354129975</v>
      </c>
      <c r="M28" s="66">
        <f t="shared" si="13"/>
        <v>15742.203799236602</v>
      </c>
      <c r="N28" s="86">
        <f t="shared" si="13"/>
        <v>-99400.43628686665</v>
      </c>
      <c r="O28" s="86">
        <f t="shared" si="13"/>
        <v>1500</v>
      </c>
      <c r="P28" s="86">
        <f t="shared" si="13"/>
        <v>136152.32399999999</v>
      </c>
      <c r="Q28" s="66">
        <f>SUM(Q7:Q27)</f>
        <v>-12224</v>
      </c>
      <c r="R28" s="130">
        <f t="shared" si="0"/>
        <v>397121.47252425516</v>
      </c>
      <c r="S28" s="98"/>
      <c r="T28" s="67">
        <f t="shared" ref="T28:U28" si="14">SUM(T7:T27)</f>
        <v>3.0634271297458326E-6</v>
      </c>
      <c r="U28" s="123">
        <f t="shared" si="14"/>
        <v>-5.1380766308284365E-10</v>
      </c>
      <c r="V28" s="184">
        <f>SUM(V7:V27)</f>
        <v>-2.0918378140777349E-11</v>
      </c>
      <c r="W28" s="124">
        <f t="shared" si="5"/>
        <v>3.062892403704609E-6</v>
      </c>
      <c r="X28" s="21"/>
      <c r="Y28" s="74" t="s">
        <v>30</v>
      </c>
      <c r="Z28" s="172">
        <f t="shared" ref="Z28:AD28" si="15">SUM(Z7:Z27)</f>
        <v>1</v>
      </c>
      <c r="AA28" s="172">
        <f t="shared" si="15"/>
        <v>1.0000000000000002</v>
      </c>
      <c r="AB28" s="172">
        <f t="shared" si="15"/>
        <v>1</v>
      </c>
      <c r="AC28" s="172">
        <f t="shared" si="15"/>
        <v>1</v>
      </c>
      <c r="AD28" s="173">
        <f t="shared" si="15"/>
        <v>1</v>
      </c>
      <c r="AE28" s="67">
        <f>SUM(AE7:AE27)</f>
        <v>1409491.069686546</v>
      </c>
      <c r="AF28" s="68">
        <f t="shared" ref="AF28:AI28" si="16">SUM(AF7:AF27)</f>
        <v>245128.88168461685</v>
      </c>
      <c r="AG28" s="68">
        <f t="shared" si="16"/>
        <v>196103.1053476934</v>
      </c>
      <c r="AH28" s="68">
        <f t="shared" si="16"/>
        <v>318667.54619000177</v>
      </c>
      <c r="AI28" s="68">
        <f t="shared" si="16"/>
        <v>281898.21393730922</v>
      </c>
      <c r="AJ28" s="69">
        <f>SUM(AJ7:AJ27)</f>
        <v>2451288.8168461677</v>
      </c>
      <c r="AL28" s="70" t="s">
        <v>67</v>
      </c>
      <c r="AM28" s="68">
        <f>SUM(AM7:AM27)</f>
        <v>397121.47252425511</v>
      </c>
      <c r="AN28" s="68">
        <f>SUM(AN7:AN27)</f>
        <v>3.0628922331743524E-6</v>
      </c>
      <c r="AO28" s="68">
        <f>SUM(AO7:AO27)</f>
        <v>939729.71062957728</v>
      </c>
      <c r="AP28" s="68">
        <f>SUM(AP7:AP27)</f>
        <v>79450</v>
      </c>
      <c r="AQ28" s="68">
        <f t="shared" ref="AQ28" si="17">SUM(AQ7:AQ27)</f>
        <v>2451288.8168461677</v>
      </c>
      <c r="AR28" s="154">
        <f>SUM(AR7:AR27)</f>
        <v>3867590.0000030636</v>
      </c>
      <c r="AS28" s="182">
        <f>SUM(AS7:AS27)</f>
        <v>0.99999999999999978</v>
      </c>
      <c r="AT28" s="183">
        <f>SUM(AT7:AT27)</f>
        <v>1</v>
      </c>
      <c r="AU28" s="151"/>
    </row>
    <row r="29" spans="1:48" ht="12">
      <c r="A29" s="75" t="s">
        <v>6</v>
      </c>
      <c r="B29" s="75"/>
      <c r="C29" s="1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180"/>
      <c r="R29" s="6"/>
      <c r="S29" s="99"/>
      <c r="T29" s="75" t="s">
        <v>6</v>
      </c>
      <c r="U29" s="99"/>
      <c r="V29" s="99"/>
      <c r="W29" s="99"/>
      <c r="X29" s="21"/>
      <c r="Y29" s="75"/>
      <c r="Z29" s="71"/>
      <c r="AA29" s="71"/>
      <c r="AB29" s="71"/>
      <c r="AC29" s="71"/>
      <c r="AD29" s="71"/>
      <c r="AL29" s="75" t="s">
        <v>6</v>
      </c>
      <c r="AM29" s="15"/>
      <c r="AN29" s="15"/>
      <c r="AO29" s="15"/>
      <c r="AP29" s="15"/>
      <c r="AQ29" s="16"/>
      <c r="AR29" s="16"/>
      <c r="AS29" s="16"/>
      <c r="AT29" s="15"/>
      <c r="AU29" s="109"/>
    </row>
    <row r="30" spans="1:48">
      <c r="K30" s="156"/>
      <c r="L30" s="158"/>
      <c r="X30" s="21"/>
      <c r="Y30" s="21"/>
      <c r="Z30" s="7"/>
      <c r="AA30" s="7"/>
      <c r="AC30" s="7"/>
      <c r="AD30" s="7"/>
      <c r="AR30" s="85"/>
      <c r="AS30" s="85"/>
    </row>
    <row r="31" spans="1:48" ht="12.75" customHeight="1">
      <c r="C31" s="11"/>
      <c r="D31" s="155"/>
      <c r="H31" s="158"/>
      <c r="I31" s="159"/>
      <c r="J31" s="156"/>
      <c r="K31" s="156"/>
      <c r="R31" s="126"/>
      <c r="S31" s="126"/>
      <c r="T31" s="201"/>
      <c r="U31" s="201"/>
      <c r="V31" s="201"/>
      <c r="W31" s="201"/>
      <c r="X31" s="21"/>
      <c r="Y31" s="21"/>
      <c r="AC31" s="91"/>
      <c r="AD31" s="9"/>
      <c r="AL31" s="11"/>
      <c r="AM31" s="11"/>
      <c r="AN31" s="11"/>
      <c r="AO31" s="11"/>
      <c r="AP31" s="11"/>
      <c r="AQ31" s="18"/>
      <c r="AR31" s="18"/>
      <c r="AS31" s="18"/>
      <c r="AT31" s="18"/>
    </row>
    <row r="32" spans="1:48" ht="11.25" customHeight="1">
      <c r="C32" s="11"/>
      <c r="E32" s="8"/>
      <c r="F32" s="161"/>
      <c r="G32" s="157"/>
      <c r="I32" s="158"/>
      <c r="J32" s="156"/>
      <c r="M32" s="159"/>
      <c r="R32" s="126"/>
      <c r="S32" s="126"/>
      <c r="T32" s="201"/>
      <c r="U32" s="201"/>
      <c r="V32" s="201"/>
      <c r="W32" s="201"/>
      <c r="X32" s="21"/>
      <c r="Y32" s="21"/>
      <c r="AC32" s="91"/>
      <c r="AD32" s="10"/>
      <c r="AL32" s="11"/>
      <c r="AM32" s="11"/>
      <c r="AN32" s="11"/>
      <c r="AO32" s="11"/>
      <c r="AP32" s="11"/>
      <c r="AQ32" s="19"/>
      <c r="AR32" s="18"/>
      <c r="AS32" s="18"/>
      <c r="AT32" s="11"/>
    </row>
    <row r="33" spans="1:46" ht="16.5" customHeight="1">
      <c r="B33" s="156"/>
      <c r="C33" s="11"/>
      <c r="E33" s="92"/>
      <c r="R33" s="126"/>
      <c r="S33" s="126"/>
      <c r="T33" s="95"/>
      <c r="U33" s="127"/>
      <c r="V33" s="185"/>
      <c r="W33" s="188"/>
      <c r="X33" s="21"/>
      <c r="Y33" s="190"/>
      <c r="AC33" s="91"/>
      <c r="AD33" s="10"/>
      <c r="AL33" s="11"/>
      <c r="AM33" s="11"/>
      <c r="AN33" s="11"/>
      <c r="AO33" s="11"/>
      <c r="AP33" s="11"/>
    </row>
    <row r="34" spans="1:46" ht="18">
      <c r="C34" s="21"/>
      <c r="D34" s="92"/>
      <c r="E34" s="1"/>
      <c r="F34" s="23"/>
      <c r="P34" s="115"/>
      <c r="Q34" s="126"/>
      <c r="R34" s="126"/>
      <c r="S34" s="95"/>
      <c r="T34" s="127"/>
      <c r="U34" s="5"/>
      <c r="V34" s="185"/>
      <c r="W34" s="188"/>
      <c r="X34" s="21"/>
      <c r="Y34" s="156"/>
      <c r="AB34" s="91"/>
      <c r="AC34" s="10"/>
      <c r="AE34" s="7"/>
      <c r="AF34" s="7"/>
      <c r="AG34" s="7"/>
      <c r="AH34" s="7"/>
      <c r="AI34" s="7"/>
      <c r="AJ34" s="7"/>
      <c r="AK34" s="19"/>
      <c r="AL34" s="19"/>
      <c r="AM34" s="19"/>
      <c r="AN34" s="19"/>
      <c r="AO34" s="19"/>
      <c r="AP34" s="19"/>
      <c r="AQ34" s="20"/>
      <c r="AR34" s="19"/>
      <c r="AS34" s="19"/>
    </row>
    <row r="35" spans="1:46" ht="18">
      <c r="B35" s="8"/>
      <c r="C35" s="21"/>
      <c r="D35" s="92"/>
      <c r="E35" s="1"/>
      <c r="F35" s="23"/>
      <c r="P35" s="115"/>
      <c r="Q35" s="126"/>
      <c r="R35" s="126"/>
      <c r="S35" s="95"/>
      <c r="T35" s="127"/>
      <c r="U35" s="5"/>
      <c r="V35" s="185"/>
      <c r="W35" s="188"/>
      <c r="X35" s="21"/>
      <c r="Y35" s="156"/>
      <c r="AB35" s="91"/>
      <c r="AC35" s="10"/>
    </row>
    <row r="36" spans="1:46" ht="18">
      <c r="E36" s="92"/>
      <c r="P36" s="115"/>
      <c r="R36" s="126"/>
      <c r="S36" s="126"/>
      <c r="T36" s="95"/>
      <c r="U36" s="127"/>
      <c r="V36" s="185"/>
      <c r="W36" s="188"/>
      <c r="X36" s="21"/>
      <c r="Y36" s="156"/>
      <c r="Z36" s="11"/>
      <c r="AC36" s="91"/>
      <c r="AD36" s="10"/>
    </row>
    <row r="37" spans="1:46">
      <c r="E37" s="88"/>
      <c r="F37" s="89"/>
      <c r="J37" s="17"/>
      <c r="P37" s="115"/>
      <c r="R37" s="126"/>
      <c r="S37" s="126"/>
      <c r="T37" s="95"/>
      <c r="U37" s="127"/>
      <c r="V37" s="185"/>
      <c r="W37" s="188"/>
      <c r="X37" s="21"/>
      <c r="Y37" s="156"/>
      <c r="Z37" s="11"/>
      <c r="AC37" s="91"/>
      <c r="AD37" s="10"/>
    </row>
    <row r="38" spans="1:46">
      <c r="E38" s="88"/>
      <c r="F38" s="89"/>
      <c r="P38" s="115"/>
      <c r="R38" s="126"/>
      <c r="S38" s="126"/>
      <c r="T38" s="95"/>
      <c r="U38" s="127"/>
      <c r="V38" s="185"/>
      <c r="W38" s="188"/>
      <c r="X38" s="21"/>
      <c r="Y38" s="156"/>
      <c r="AC38" s="91"/>
      <c r="AD38" s="10"/>
    </row>
    <row r="39" spans="1:46">
      <c r="P39" s="115"/>
      <c r="R39" s="126"/>
      <c r="S39" s="126"/>
      <c r="T39" s="95"/>
      <c r="U39" s="127"/>
      <c r="V39" s="185"/>
      <c r="W39" s="188"/>
      <c r="X39" s="21"/>
      <c r="Y39" s="156"/>
      <c r="AC39" s="91"/>
      <c r="AD39" s="10"/>
    </row>
    <row r="40" spans="1:46">
      <c r="P40" s="115"/>
      <c r="R40" s="126"/>
      <c r="S40" s="126"/>
      <c r="T40" s="95"/>
      <c r="U40" s="127"/>
      <c r="V40" s="185"/>
      <c r="W40" s="188"/>
      <c r="X40" s="21"/>
      <c r="Y40" s="156"/>
      <c r="Z40" s="12"/>
      <c r="AA40" s="13"/>
      <c r="AC40" s="91"/>
      <c r="AD40" s="10"/>
    </row>
    <row r="41" spans="1:46" s="7" customFormat="1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115"/>
      <c r="Q41" s="23"/>
      <c r="R41" s="126"/>
      <c r="S41" s="126"/>
      <c r="T41" s="95"/>
      <c r="U41" s="127"/>
      <c r="V41" s="185"/>
      <c r="W41" s="188"/>
      <c r="X41" s="21"/>
      <c r="Y41" s="156"/>
      <c r="Z41" s="14"/>
      <c r="AA41" s="14"/>
      <c r="AB41" s="8"/>
      <c r="AC41" s="91"/>
      <c r="AD41" s="10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>
      <c r="P42" s="115"/>
      <c r="R42" s="126"/>
      <c r="S42" s="126"/>
      <c r="T42" s="95"/>
      <c r="U42" s="127"/>
      <c r="V42" s="185"/>
      <c r="W42" s="188"/>
      <c r="X42" s="21"/>
      <c r="Y42" s="156"/>
      <c r="AC42" s="91"/>
    </row>
    <row r="43" spans="1:46">
      <c r="P43" s="115"/>
      <c r="R43" s="126"/>
      <c r="S43" s="126"/>
      <c r="T43" s="95"/>
      <c r="U43" s="127"/>
      <c r="V43" s="185"/>
      <c r="W43" s="188"/>
      <c r="X43" s="21"/>
      <c r="Y43" s="156"/>
      <c r="AC43" s="91"/>
    </row>
    <row r="44" spans="1:46" ht="15" customHeight="1">
      <c r="P44" s="115"/>
      <c r="R44" s="126"/>
      <c r="S44" s="126"/>
      <c r="T44" s="95"/>
      <c r="U44" s="127"/>
      <c r="V44" s="185"/>
      <c r="W44" s="188"/>
      <c r="X44" s="21"/>
      <c r="Y44" s="156"/>
      <c r="AC44" s="91"/>
    </row>
    <row r="45" spans="1:46">
      <c r="P45" s="115"/>
      <c r="R45" s="126"/>
      <c r="S45" s="126"/>
      <c r="T45" s="95"/>
      <c r="U45" s="127"/>
      <c r="V45" s="185"/>
      <c r="W45" s="188"/>
      <c r="X45" s="21"/>
      <c r="Y45" s="156"/>
      <c r="AC45" s="91"/>
    </row>
    <row r="46" spans="1:46">
      <c r="P46" s="115"/>
      <c r="R46" s="126"/>
      <c r="S46" s="126"/>
      <c r="T46" s="95"/>
      <c r="U46" s="127"/>
      <c r="V46" s="185"/>
      <c r="W46" s="188"/>
      <c r="X46" s="21"/>
      <c r="Y46" s="156"/>
      <c r="AC46" s="91"/>
    </row>
    <row r="47" spans="1:46">
      <c r="P47" s="115"/>
      <c r="R47" s="126"/>
      <c r="S47" s="126"/>
      <c r="T47" s="95"/>
      <c r="U47" s="127"/>
      <c r="V47" s="185"/>
      <c r="W47" s="188"/>
      <c r="X47" s="21"/>
      <c r="Y47" s="156"/>
      <c r="AC47" s="91"/>
    </row>
    <row r="48" spans="1:46">
      <c r="B48" s="8"/>
      <c r="P48" s="115"/>
      <c r="R48" s="126"/>
      <c r="S48" s="126"/>
      <c r="T48" s="95"/>
      <c r="U48" s="127"/>
      <c r="V48" s="185"/>
      <c r="W48" s="188"/>
      <c r="X48" s="21"/>
      <c r="Y48" s="156"/>
      <c r="AC48" s="91"/>
    </row>
    <row r="49" spans="2:46" s="8" customFormat="1">
      <c r="P49" s="115"/>
      <c r="R49" s="128"/>
      <c r="S49" s="128"/>
      <c r="T49" s="95"/>
      <c r="U49" s="127"/>
      <c r="V49" s="185"/>
      <c r="W49" s="188"/>
      <c r="Y49" s="157"/>
      <c r="AB49" s="91"/>
    </row>
    <row r="50" spans="2:46" s="8" customFormat="1">
      <c r="P50" s="115"/>
      <c r="R50" s="128"/>
      <c r="S50" s="128"/>
      <c r="T50" s="95"/>
      <c r="U50" s="127"/>
      <c r="V50" s="185"/>
      <c r="W50" s="188"/>
      <c r="Y50" s="156"/>
      <c r="AB50" s="91"/>
    </row>
    <row r="51" spans="2:46" s="8" customFormat="1">
      <c r="P51" s="115"/>
      <c r="R51" s="128"/>
      <c r="S51" s="128"/>
      <c r="T51" s="95"/>
      <c r="U51" s="127"/>
      <c r="V51" s="185"/>
      <c r="W51" s="188"/>
      <c r="Y51" s="156"/>
      <c r="AB51" s="91"/>
    </row>
    <row r="52" spans="2:46" s="8" customFormat="1">
      <c r="P52" s="115"/>
      <c r="T52" s="23"/>
      <c r="U52" s="115"/>
      <c r="V52" s="185"/>
      <c r="W52" s="189"/>
      <c r="Y52" s="156"/>
    </row>
    <row r="53" spans="2:46" s="8" customFormat="1">
      <c r="P53" s="115"/>
      <c r="V53" s="185"/>
      <c r="W53" s="188"/>
      <c r="Y53" s="156"/>
    </row>
    <row r="54" spans="2:46" s="8" customFormat="1">
      <c r="P54" s="115"/>
      <c r="V54" s="151"/>
      <c r="W54" s="187"/>
      <c r="Y54" s="156"/>
    </row>
    <row r="55" spans="2:46" s="8" customFormat="1">
      <c r="P55" s="115"/>
      <c r="W55" s="21"/>
    </row>
    <row r="56" spans="2:46" s="8" customFormat="1" ht="11.25">
      <c r="B56" s="21"/>
      <c r="W56" s="21"/>
    </row>
    <row r="57" spans="2:46">
      <c r="W57" s="8"/>
      <c r="AP57" s="23"/>
      <c r="AT57" s="5"/>
    </row>
    <row r="58" spans="2:46">
      <c r="W58" s="8"/>
      <c r="AP58" s="23"/>
      <c r="AT58" s="5"/>
    </row>
    <row r="59" spans="2:46">
      <c r="W59" s="8"/>
      <c r="AP59" s="23"/>
      <c r="AT59" s="5"/>
    </row>
    <row r="60" spans="2:46">
      <c r="W60" s="8"/>
      <c r="AP60" s="23"/>
      <c r="AT60" s="5"/>
    </row>
    <row r="61" spans="2:46">
      <c r="W61" s="8"/>
      <c r="AP61" s="23"/>
      <c r="AT61" s="5"/>
    </row>
    <row r="62" spans="2:46">
      <c r="W62" s="8"/>
      <c r="AP62" s="23"/>
      <c r="AT62" s="5"/>
    </row>
    <row r="63" spans="2:46">
      <c r="W63" s="8"/>
      <c r="AP63" s="23"/>
      <c r="AT63" s="5"/>
    </row>
    <row r="64" spans="2:46">
      <c r="W64" s="8"/>
      <c r="AP64" s="23"/>
      <c r="AT64" s="5"/>
    </row>
    <row r="65" spans="23:46">
      <c r="W65" s="8"/>
      <c r="AP65" s="23"/>
      <c r="AT65" s="5"/>
    </row>
    <row r="66" spans="23:46">
      <c r="W66" s="8"/>
      <c r="AP66" s="23"/>
      <c r="AT66" s="5"/>
    </row>
    <row r="67" spans="23:46">
      <c r="W67" s="8"/>
      <c r="AP67" s="23"/>
      <c r="AT67" s="5"/>
    </row>
    <row r="68" spans="23:46">
      <c r="W68" s="8"/>
      <c r="AP68" s="23"/>
      <c r="AT68" s="5"/>
    </row>
    <row r="69" spans="23:46">
      <c r="W69" s="8"/>
      <c r="AP69" s="23"/>
      <c r="AT69" s="5"/>
    </row>
  </sheetData>
  <mergeCells count="7">
    <mergeCell ref="T31:W32"/>
    <mergeCell ref="A3:A4"/>
    <mergeCell ref="Y3:AD4"/>
    <mergeCell ref="AE3:AJ4"/>
    <mergeCell ref="AL3:AQ4"/>
    <mergeCell ref="B3:R4"/>
    <mergeCell ref="T3:W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2024 avseende länsstyrelserna</oddHeader>
    <oddFooter>&amp;RSida &amp;P av &amp;N</oddFooter>
  </headerFooter>
  <colBreaks count="2" manualBreakCount="2">
    <brk id="18" max="29" man="1"/>
    <brk id="37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JMV6WU277ZYR-1834298216-37833</_dlc_DocId>
    <_dlc_DocIdUrl xmlns="eec14d05-b663-4c4f-ba9e-f91ce218b26b">
      <Url>https://dhs.sp.regeringskansliet.se/yta/fi-ofa/sfo/_layouts/15/DocIdRedir.aspx?ID=JMV6WU277ZYR-1834298216-37833</Url>
      <Description>JMV6WU277ZYR-1834298216-37833</Description>
    </_dlc_DocIdUrl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44" ma:contentTypeDescription="Skapa nytt dokument med möjlighet att välja RK-mall" ma:contentTypeScope="" ma:versionID="64f1a685c7f918ba1f4516d2fad3c356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9B8D2156-5A19-4662-9644-6C41E2DC58EE}">
  <ds:schemaRefs>
    <ds:schemaRef ds:uri="eec14d05-b663-4c4f-ba9e-f91ce218b26b"/>
    <ds:schemaRef ds:uri="http://www.w3.org/XML/1998/namespace"/>
    <ds:schemaRef ds:uri="http://purl.org/dc/terms/"/>
    <ds:schemaRef ds:uri="http://schemas.microsoft.com/office/infopath/2007/PartnerControls"/>
    <ds:schemaRef ds:uri="9c9941df-7074-4a92-bf99-225d24d78d61"/>
    <ds:schemaRef ds:uri="http://schemas.microsoft.com/office/2006/documentManagement/types"/>
    <ds:schemaRef ds:uri="4e9c2f0c-7bf8-49af-8356-cbf363fc78a7"/>
    <ds:schemaRef ds:uri="http://schemas.microsoft.com/office/2006/metadata/properties"/>
    <ds:schemaRef ds:uri="cc625d36-bb37-4650-91b9-0c96159295ba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452FA11B-7233-47E3-8287-86AB4A629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2022-12-16T13:37:37Z</cp:lastPrinted>
  <dcterms:created xsi:type="dcterms:W3CDTF">2020-10-23T14:25:55Z</dcterms:created>
  <dcterms:modified xsi:type="dcterms:W3CDTF">2023-12-12T08:45:08Z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900ddb34-795c-4819-85db-70dcfe7e3e77</vt:lpwstr>
  </property>
</Properties>
</file>